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\\192.168.100.206\pozzuolo\CUC\SERVIZI\37 - DISTRUBUTORI AUTOMATICI SCUOLE E COMUNI\DOCUMENTAZIONE DI GARA\"/>
    </mc:Choice>
  </mc:AlternateContent>
  <xr:revisionPtr revIDLastSave="0" documentId="13_ncr:1_{B059CBB7-C05F-46F5-A5C7-DDE6D6FE208D}" xr6:coauthVersionLast="47" xr6:coauthVersionMax="47" xr10:uidLastSave="{00000000-0000-0000-0000-000000000000}"/>
  <bookViews>
    <workbookView xWindow="-108" yWindow="-108" windowWidth="23256" windowHeight="12456" firstSheet="2" activeTab="7" xr2:uid="{4413C84E-C017-41C8-8392-141637C106C9}"/>
  </bookViews>
  <sheets>
    <sheet name="PEF UNIONE" sheetId="5" r:id="rId1"/>
    <sheet name="PEF &quot;BELLINZAGO LOMBARDO&quot;" sheetId="8" r:id="rId2"/>
    <sheet name="PEF &quot;LISCATE&quot;" sheetId="9" r:id="rId3"/>
    <sheet name="PEF &quot;POZZUOLO MARTESANA&quot;" sheetId="10" r:id="rId4"/>
    <sheet name="Quadro Economico" sheetId="6" state="hidden" r:id="rId5"/>
    <sheet name="calcolo fatturato" sheetId="1" r:id="rId6"/>
    <sheet name="giorni e media prodotti " sheetId="4" r:id="rId7"/>
    <sheet name="utilizzatori" sheetId="7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D9" i="5"/>
  <c r="E9" i="5"/>
  <c r="F9" i="5"/>
  <c r="G9" i="5"/>
  <c r="B9" i="5"/>
  <c r="G11" i="5"/>
  <c r="F11" i="5"/>
  <c r="E11" i="5"/>
  <c r="D11" i="5"/>
  <c r="C11" i="5"/>
  <c r="B11" i="5"/>
  <c r="B12" i="9"/>
  <c r="C12" i="9"/>
  <c r="C9" i="9"/>
  <c r="B9" i="9"/>
  <c r="B8" i="5" s="1"/>
  <c r="C8" i="5"/>
  <c r="D9" i="1"/>
  <c r="C9" i="1"/>
  <c r="E6" i="7"/>
  <c r="D16" i="5"/>
  <c r="B16" i="5"/>
  <c r="D8" i="5"/>
  <c r="E8" i="5"/>
  <c r="F8" i="5"/>
  <c r="G8" i="5"/>
  <c r="B38" i="8"/>
  <c r="B38" i="9"/>
  <c r="B38" i="10"/>
  <c r="B21" i="1"/>
  <c r="B22" i="1"/>
  <c r="B20" i="1"/>
  <c r="B15" i="1"/>
  <c r="B16" i="1"/>
  <c r="B14" i="1"/>
  <c r="C41" i="4"/>
  <c r="C40" i="4"/>
  <c r="A1" i="8" l="1"/>
  <c r="A1" i="9"/>
  <c r="A1" i="10"/>
  <c r="B9" i="1"/>
  <c r="E13" i="6"/>
  <c r="D6" i="7"/>
  <c r="B17" i="10" l="1"/>
  <c r="G20" i="10" s="1"/>
  <c r="G12" i="10"/>
  <c r="F12" i="10"/>
  <c r="E12" i="10"/>
  <c r="D12" i="10"/>
  <c r="C12" i="10"/>
  <c r="B12" i="10"/>
  <c r="G9" i="10"/>
  <c r="F9" i="10"/>
  <c r="E9" i="10"/>
  <c r="D9" i="10"/>
  <c r="C9" i="10"/>
  <c r="B9" i="10"/>
  <c r="F20" i="9"/>
  <c r="G12" i="9"/>
  <c r="F12" i="9"/>
  <c r="E12" i="9"/>
  <c r="D12" i="9"/>
  <c r="H12" i="9"/>
  <c r="G9" i="9"/>
  <c r="F9" i="9"/>
  <c r="E9" i="9"/>
  <c r="D9" i="9"/>
  <c r="D9" i="8"/>
  <c r="C23" i="1"/>
  <c r="B35" i="5" s="1"/>
  <c r="H9" i="1"/>
  <c r="G9" i="1"/>
  <c r="F9" i="1"/>
  <c r="E9" i="1"/>
  <c r="D7" i="7"/>
  <c r="G10" i="1" s="1"/>
  <c r="D5" i="7"/>
  <c r="H8" i="1" s="1"/>
  <c r="B10" i="1"/>
  <c r="H2" i="6" s="1"/>
  <c r="G2" i="6"/>
  <c r="B8" i="1"/>
  <c r="F2" i="6" s="1"/>
  <c r="C8" i="7"/>
  <c r="C20" i="10" l="1"/>
  <c r="D20" i="10"/>
  <c r="H9" i="10"/>
  <c r="H4" i="6" s="1"/>
  <c r="D8" i="7"/>
  <c r="D10" i="1"/>
  <c r="D8" i="1"/>
  <c r="F10" i="1"/>
  <c r="E8" i="1"/>
  <c r="F8" i="1"/>
  <c r="H10" i="1"/>
  <c r="G8" i="1"/>
  <c r="C10" i="1"/>
  <c r="C8" i="1"/>
  <c r="E10" i="1"/>
  <c r="H12" i="10"/>
  <c r="B20" i="10"/>
  <c r="E20" i="10"/>
  <c r="H17" i="10"/>
  <c r="F20" i="10"/>
  <c r="H9" i="9"/>
  <c r="G4" i="6" s="1"/>
  <c r="B20" i="9"/>
  <c r="C20" i="9"/>
  <c r="D20" i="9"/>
  <c r="H17" i="9"/>
  <c r="G20" i="9"/>
  <c r="E20" i="9"/>
  <c r="G12" i="8"/>
  <c r="F12" i="8"/>
  <c r="G9" i="8"/>
  <c r="F9" i="8"/>
  <c r="B17" i="8"/>
  <c r="C12" i="8"/>
  <c r="B9" i="8"/>
  <c r="E12" i="8"/>
  <c r="E9" i="8"/>
  <c r="B12" i="8"/>
  <c r="D12" i="8"/>
  <c r="C9" i="8"/>
  <c r="H7" i="1"/>
  <c r="C42" i="4" l="1"/>
  <c r="C43" i="4" s="1"/>
  <c r="H20" i="9"/>
  <c r="C7" i="1"/>
  <c r="G7" i="1"/>
  <c r="D7" i="1"/>
  <c r="F7" i="1"/>
  <c r="E7" i="1"/>
  <c r="H20" i="10"/>
  <c r="F20" i="8"/>
  <c r="E20" i="8"/>
  <c r="D20" i="8"/>
  <c r="C20" i="8"/>
  <c r="B20" i="8"/>
  <c r="G20" i="8"/>
  <c r="H17" i="8"/>
  <c r="H12" i="8"/>
  <c r="H9" i="8"/>
  <c r="F4" i="6" s="1"/>
  <c r="C5" i="1" l="1"/>
  <c r="I9" i="1" s="1"/>
  <c r="D5" i="1"/>
  <c r="E5" i="1"/>
  <c r="F5" i="1"/>
  <c r="G5" i="1"/>
  <c r="H5" i="1"/>
  <c r="H20" i="8"/>
  <c r="E19" i="5"/>
  <c r="F19" i="5"/>
  <c r="D19" i="5"/>
  <c r="G19" i="5"/>
  <c r="B19" i="5"/>
  <c r="C19" i="5"/>
  <c r="F10" i="4"/>
  <c r="H19" i="5" l="1"/>
  <c r="H8" i="5"/>
  <c r="E4" i="6" l="1"/>
  <c r="F8" i="4"/>
  <c r="H4" i="1" s="1"/>
  <c r="G4" i="9" l="1"/>
  <c r="G4" i="8"/>
  <c r="G4" i="10"/>
  <c r="H11" i="1"/>
  <c r="G3" i="5" s="1"/>
  <c r="H15" i="1"/>
  <c r="G8" i="9" s="1"/>
  <c r="H16" i="1"/>
  <c r="G8" i="10" s="1"/>
  <c r="H14" i="1"/>
  <c r="F4" i="4"/>
  <c r="D4" i="1" s="1"/>
  <c r="F5" i="4"/>
  <c r="E4" i="1" s="1"/>
  <c r="F6" i="4"/>
  <c r="F4" i="1" s="1"/>
  <c r="F7" i="4"/>
  <c r="G4" i="1" s="1"/>
  <c r="F3" i="4"/>
  <c r="G10" i="9" l="1"/>
  <c r="G7" i="9" s="1"/>
  <c r="F4" i="9"/>
  <c r="F4" i="10"/>
  <c r="F4" i="8"/>
  <c r="C4" i="9"/>
  <c r="C4" i="10"/>
  <c r="C4" i="8"/>
  <c r="D4" i="9"/>
  <c r="D4" i="10"/>
  <c r="D4" i="8"/>
  <c r="E4" i="9"/>
  <c r="E4" i="10"/>
  <c r="E4" i="8"/>
  <c r="G5" i="10"/>
  <c r="G11" i="10"/>
  <c r="G5" i="8"/>
  <c r="G11" i="8"/>
  <c r="G11" i="9"/>
  <c r="G5" i="9"/>
  <c r="H17" i="1"/>
  <c r="G7" i="5" s="1"/>
  <c r="G8" i="8"/>
  <c r="G10" i="10"/>
  <c r="G7" i="10" s="1"/>
  <c r="G13" i="10" s="1"/>
  <c r="G11" i="1"/>
  <c r="F3" i="5" s="1"/>
  <c r="G16" i="1"/>
  <c r="F8" i="10" s="1"/>
  <c r="F10" i="10" s="1"/>
  <c r="F7" i="10" s="1"/>
  <c r="G14" i="1"/>
  <c r="G15" i="1"/>
  <c r="F8" i="9" s="1"/>
  <c r="F11" i="1"/>
  <c r="E3" i="5" s="1"/>
  <c r="F16" i="1"/>
  <c r="E8" i="10" s="1"/>
  <c r="E10" i="10" s="1"/>
  <c r="E7" i="10" s="1"/>
  <c r="F14" i="1"/>
  <c r="F15" i="1"/>
  <c r="E8" i="9" s="1"/>
  <c r="E11" i="1"/>
  <c r="D3" i="5" s="1"/>
  <c r="E16" i="1"/>
  <c r="D8" i="10" s="1"/>
  <c r="D10" i="10" s="1"/>
  <c r="D7" i="10" s="1"/>
  <c r="E14" i="1"/>
  <c r="E15" i="1"/>
  <c r="D8" i="9" s="1"/>
  <c r="D11" i="1"/>
  <c r="C3" i="5" s="1"/>
  <c r="D16" i="1"/>
  <c r="C8" i="10" s="1"/>
  <c r="C10" i="10" s="1"/>
  <c r="C7" i="10" s="1"/>
  <c r="D14" i="1"/>
  <c r="D15" i="1"/>
  <c r="C8" i="9" s="1"/>
  <c r="G4" i="5"/>
  <c r="C4" i="1"/>
  <c r="F9" i="4"/>
  <c r="F11" i="4" s="1"/>
  <c r="H16" i="5"/>
  <c r="C10" i="9" l="1"/>
  <c r="C7" i="9" s="1"/>
  <c r="D10" i="9"/>
  <c r="D7" i="9" s="1"/>
  <c r="E10" i="9"/>
  <c r="E7" i="9" s="1"/>
  <c r="G13" i="9"/>
  <c r="G10" i="5"/>
  <c r="F10" i="9"/>
  <c r="F7" i="9" s="1"/>
  <c r="G15" i="10"/>
  <c r="G21" i="10" s="1"/>
  <c r="G15" i="9"/>
  <c r="G21" i="9" s="1"/>
  <c r="E5" i="8"/>
  <c r="E11" i="8"/>
  <c r="C5" i="8"/>
  <c r="C11" i="8"/>
  <c r="E5" i="9"/>
  <c r="E11" i="9"/>
  <c r="D11" i="10"/>
  <c r="D13" i="10" s="1"/>
  <c r="D5" i="10"/>
  <c r="D11" i="9"/>
  <c r="D5" i="9"/>
  <c r="C11" i="10"/>
  <c r="C13" i="10" s="1"/>
  <c r="C5" i="10"/>
  <c r="E5" i="10"/>
  <c r="E11" i="10"/>
  <c r="E13" i="10" s="1"/>
  <c r="D11" i="8"/>
  <c r="D5" i="8"/>
  <c r="B4" i="9"/>
  <c r="B4" i="8"/>
  <c r="B4" i="10"/>
  <c r="C5" i="9"/>
  <c r="C11" i="9"/>
  <c r="F5" i="8"/>
  <c r="F11" i="8"/>
  <c r="F5" i="10"/>
  <c r="F11" i="10"/>
  <c r="F13" i="10" s="1"/>
  <c r="F15" i="10" s="1"/>
  <c r="F5" i="9"/>
  <c r="F11" i="9"/>
  <c r="F10" i="5" s="1"/>
  <c r="E8" i="8"/>
  <c r="F17" i="1"/>
  <c r="E7" i="5" s="1"/>
  <c r="D17" i="1"/>
  <c r="C7" i="5" s="1"/>
  <c r="C8" i="8"/>
  <c r="G17" i="1"/>
  <c r="F7" i="5" s="1"/>
  <c r="F8" i="8"/>
  <c r="G6" i="5"/>
  <c r="G12" i="5" s="1"/>
  <c r="G14" i="5" s="1"/>
  <c r="D8" i="8"/>
  <c r="E17" i="1"/>
  <c r="D7" i="5" s="1"/>
  <c r="G10" i="8"/>
  <c r="G7" i="8" s="1"/>
  <c r="G13" i="8" s="1"/>
  <c r="G15" i="8" s="1"/>
  <c r="C15" i="1"/>
  <c r="C16" i="1"/>
  <c r="C14" i="1"/>
  <c r="I4" i="1"/>
  <c r="C11" i="1"/>
  <c r="B3" i="5" s="1"/>
  <c r="E4" i="5"/>
  <c r="F4" i="5"/>
  <c r="D4" i="5"/>
  <c r="C4" i="5"/>
  <c r="F13" i="9" l="1"/>
  <c r="F15" i="9" s="1"/>
  <c r="F21" i="9" s="1"/>
  <c r="F24" i="9" s="1"/>
  <c r="C13" i="9"/>
  <c r="C15" i="9" s="1"/>
  <c r="C18" i="9" s="1"/>
  <c r="C10" i="5"/>
  <c r="D13" i="9"/>
  <c r="D10" i="5"/>
  <c r="E13" i="9"/>
  <c r="E15" i="9" s="1"/>
  <c r="E10" i="5"/>
  <c r="C15" i="10"/>
  <c r="C21" i="10" s="1"/>
  <c r="C23" i="10" s="1"/>
  <c r="D15" i="9"/>
  <c r="D21" i="9" s="1"/>
  <c r="D23" i="9" s="1"/>
  <c r="G18" i="10"/>
  <c r="E15" i="10"/>
  <c r="E21" i="10" s="1"/>
  <c r="E24" i="10" s="1"/>
  <c r="G24" i="9"/>
  <c r="G23" i="9"/>
  <c r="D15" i="10"/>
  <c r="G18" i="9"/>
  <c r="D21" i="10"/>
  <c r="D24" i="10" s="1"/>
  <c r="D18" i="10"/>
  <c r="E21" i="9"/>
  <c r="E24" i="9" s="1"/>
  <c r="E18" i="9"/>
  <c r="F21" i="10"/>
  <c r="F24" i="10" s="1"/>
  <c r="F18" i="10"/>
  <c r="B11" i="9"/>
  <c r="B5" i="9"/>
  <c r="H4" i="9"/>
  <c r="H5" i="9" s="1"/>
  <c r="B11" i="8"/>
  <c r="H11" i="8" s="1"/>
  <c r="B5" i="8"/>
  <c r="H4" i="8"/>
  <c r="H5" i="8" s="1"/>
  <c r="B5" i="10"/>
  <c r="B11" i="10"/>
  <c r="H11" i="10" s="1"/>
  <c r="H4" i="10"/>
  <c r="H5" i="10" s="1"/>
  <c r="F6" i="5"/>
  <c r="F12" i="5" s="1"/>
  <c r="F14" i="5" s="1"/>
  <c r="F17" i="5" s="1"/>
  <c r="E6" i="5"/>
  <c r="E12" i="5" s="1"/>
  <c r="E14" i="5" s="1"/>
  <c r="I15" i="1"/>
  <c r="B8" i="9"/>
  <c r="G23" i="10"/>
  <c r="G24" i="10"/>
  <c r="G21" i="8"/>
  <c r="G18" i="8"/>
  <c r="D10" i="8"/>
  <c r="D7" i="8"/>
  <c r="D13" i="8" s="1"/>
  <c r="D15" i="8" s="1"/>
  <c r="F10" i="8"/>
  <c r="F7" i="8" s="1"/>
  <c r="F13" i="8" s="1"/>
  <c r="F15" i="8" s="1"/>
  <c r="E10" i="8"/>
  <c r="E7" i="8" s="1"/>
  <c r="E13" i="8" s="1"/>
  <c r="E15" i="8" s="1"/>
  <c r="D6" i="5"/>
  <c r="C10" i="8"/>
  <c r="C7" i="8" s="1"/>
  <c r="C13" i="8" s="1"/>
  <c r="C15" i="8" s="1"/>
  <c r="I14" i="1"/>
  <c r="B8" i="8"/>
  <c r="C17" i="1"/>
  <c r="B7" i="5" s="1"/>
  <c r="I16" i="1"/>
  <c r="B8" i="10"/>
  <c r="I8" i="1"/>
  <c r="F3" i="6" s="1"/>
  <c r="I10" i="1"/>
  <c r="H3" i="6" s="1"/>
  <c r="G3" i="6"/>
  <c r="I11" i="1"/>
  <c r="G17" i="5"/>
  <c r="G20" i="5"/>
  <c r="H11" i="5"/>
  <c r="F23" i="9" l="1"/>
  <c r="F18" i="9"/>
  <c r="E18" i="10"/>
  <c r="C24" i="10"/>
  <c r="C18" i="10"/>
  <c r="D24" i="9"/>
  <c r="D25" i="9" s="1"/>
  <c r="H11" i="9"/>
  <c r="B10" i="5"/>
  <c r="H9" i="5"/>
  <c r="H10" i="5"/>
  <c r="D12" i="5"/>
  <c r="D14" i="5" s="1"/>
  <c r="G25" i="9"/>
  <c r="G27" i="9" s="1"/>
  <c r="D18" i="9"/>
  <c r="C21" i="9"/>
  <c r="C23" i="9" s="1"/>
  <c r="D23" i="10"/>
  <c r="D25" i="10" s="1"/>
  <c r="E23" i="9"/>
  <c r="E25" i="9" s="1"/>
  <c r="E28" i="9" s="1"/>
  <c r="E23" i="10"/>
  <c r="F23" i="10"/>
  <c r="F25" i="10" s="1"/>
  <c r="F27" i="10" s="1"/>
  <c r="C18" i="8"/>
  <c r="C21" i="8"/>
  <c r="E18" i="8"/>
  <c r="E21" i="8"/>
  <c r="F18" i="8"/>
  <c r="F21" i="8"/>
  <c r="B10" i="10"/>
  <c r="H10" i="10" s="1"/>
  <c r="H8" i="10"/>
  <c r="B7" i="10"/>
  <c r="G24" i="8"/>
  <c r="G23" i="8"/>
  <c r="F28" i="10"/>
  <c r="E25" i="10"/>
  <c r="D18" i="8"/>
  <c r="D21" i="8"/>
  <c r="G25" i="10"/>
  <c r="H7" i="5"/>
  <c r="B6" i="5"/>
  <c r="B10" i="8"/>
  <c r="H10" i="8" s="1"/>
  <c r="H8" i="8"/>
  <c r="I17" i="1"/>
  <c r="B10" i="9"/>
  <c r="H8" i="9"/>
  <c r="C25" i="10"/>
  <c r="F25" i="9"/>
  <c r="F19" i="6"/>
  <c r="F20" i="6" s="1"/>
  <c r="F14" i="6"/>
  <c r="F16" i="6" s="1"/>
  <c r="F7" i="6"/>
  <c r="G19" i="6"/>
  <c r="G20" i="6" s="1"/>
  <c r="G14" i="6"/>
  <c r="G16" i="6" s="1"/>
  <c r="G7" i="6"/>
  <c r="C6" i="5"/>
  <c r="C12" i="5" s="1"/>
  <c r="C14" i="5" s="1"/>
  <c r="H19" i="6"/>
  <c r="H20" i="6" s="1"/>
  <c r="H14" i="6"/>
  <c r="H16" i="6" s="1"/>
  <c r="H7" i="6"/>
  <c r="F20" i="5"/>
  <c r="F22" i="5" s="1"/>
  <c r="B4" i="5"/>
  <c r="H3" i="5"/>
  <c r="E3" i="6" s="1"/>
  <c r="G23" i="5"/>
  <c r="G22" i="5"/>
  <c r="E17" i="5"/>
  <c r="E20" i="5"/>
  <c r="G28" i="9" l="1"/>
  <c r="H23" i="10"/>
  <c r="C24" i="9"/>
  <c r="C25" i="9" s="1"/>
  <c r="C28" i="9" s="1"/>
  <c r="H23" i="9"/>
  <c r="E27" i="9"/>
  <c r="D27" i="10"/>
  <c r="D28" i="10"/>
  <c r="H6" i="5"/>
  <c r="G28" i="10"/>
  <c r="G27" i="10"/>
  <c r="B13" i="10"/>
  <c r="H7" i="10"/>
  <c r="F27" i="9"/>
  <c r="F28" i="9"/>
  <c r="D28" i="9"/>
  <c r="D27" i="9"/>
  <c r="C27" i="10"/>
  <c r="C28" i="10"/>
  <c r="F23" i="8"/>
  <c r="F24" i="8"/>
  <c r="D23" i="8"/>
  <c r="D24" i="8"/>
  <c r="B7" i="9"/>
  <c r="H10" i="9"/>
  <c r="E23" i="8"/>
  <c r="E24" i="8"/>
  <c r="E28" i="10"/>
  <c r="E27" i="10"/>
  <c r="B7" i="8"/>
  <c r="C23" i="8"/>
  <c r="C24" i="8"/>
  <c r="G25" i="8"/>
  <c r="G22" i="6"/>
  <c r="H22" i="6"/>
  <c r="F22" i="6"/>
  <c r="H4" i="5"/>
  <c r="F23" i="5"/>
  <c r="F24" i="5" s="1"/>
  <c r="B12" i="5"/>
  <c r="G24" i="5"/>
  <c r="G26" i="5" s="1"/>
  <c r="E23" i="5"/>
  <c r="E22" i="5"/>
  <c r="C17" i="5"/>
  <c r="C20" i="5"/>
  <c r="D17" i="5"/>
  <c r="D20" i="5"/>
  <c r="C27" i="9" l="1"/>
  <c r="E25" i="8"/>
  <c r="G27" i="8"/>
  <c r="G28" i="8"/>
  <c r="B13" i="9"/>
  <c r="H7" i="9"/>
  <c r="C25" i="8"/>
  <c r="H23" i="8"/>
  <c r="B15" i="10"/>
  <c r="H13" i="10"/>
  <c r="H15" i="10" s="1"/>
  <c r="B13" i="8"/>
  <c r="H7" i="8"/>
  <c r="D25" i="8"/>
  <c r="F25" i="8"/>
  <c r="E19" i="6"/>
  <c r="E20" i="6" s="1"/>
  <c r="E7" i="6"/>
  <c r="B14" i="5"/>
  <c r="H12" i="5"/>
  <c r="G27" i="5"/>
  <c r="F26" i="5"/>
  <c r="F27" i="5"/>
  <c r="D22" i="5"/>
  <c r="D23" i="5"/>
  <c r="E24" i="5"/>
  <c r="C23" i="5"/>
  <c r="C22" i="5"/>
  <c r="F27" i="8" l="1"/>
  <c r="F28" i="8"/>
  <c r="E28" i="8"/>
  <c r="E27" i="8"/>
  <c r="D27" i="8"/>
  <c r="D28" i="8"/>
  <c r="H13" i="8"/>
  <c r="H15" i="8" s="1"/>
  <c r="B15" i="8"/>
  <c r="B21" i="10"/>
  <c r="B18" i="10"/>
  <c r="C28" i="8"/>
  <c r="C27" i="8"/>
  <c r="H13" i="9"/>
  <c r="H15" i="9" s="1"/>
  <c r="B15" i="9"/>
  <c r="H14" i="5"/>
  <c r="E14" i="6"/>
  <c r="E16" i="6" s="1"/>
  <c r="E22" i="6" s="1"/>
  <c r="D26" i="6"/>
  <c r="D27" i="6" s="1"/>
  <c r="D28" i="6" s="1"/>
  <c r="B17" i="5"/>
  <c r="H17" i="5" s="1"/>
  <c r="B20" i="5"/>
  <c r="E26" i="5"/>
  <c r="E27" i="5"/>
  <c r="D24" i="5"/>
  <c r="H22" i="5"/>
  <c r="C24" i="5"/>
  <c r="H18" i="10" l="1"/>
  <c r="B24" i="10"/>
  <c r="H21" i="10"/>
  <c r="B18" i="8"/>
  <c r="B21" i="8"/>
  <c r="B21" i="9"/>
  <c r="B18" i="9"/>
  <c r="B23" i="5"/>
  <c r="H20" i="5"/>
  <c r="C26" i="5"/>
  <c r="C27" i="5"/>
  <c r="D26" i="5"/>
  <c r="D27" i="5"/>
  <c r="H18" i="9" l="1"/>
  <c r="H21" i="9"/>
  <c r="B24" i="9"/>
  <c r="H21" i="8"/>
  <c r="B24" i="8"/>
  <c r="H18" i="8"/>
  <c r="B25" i="10"/>
  <c r="H24" i="10"/>
  <c r="B24" i="5"/>
  <c r="H23" i="5"/>
  <c r="H25" i="10" l="1"/>
  <c r="H27" i="10" s="1"/>
  <c r="B27" i="10"/>
  <c r="B28" i="10"/>
  <c r="B25" i="8"/>
  <c r="H24" i="8"/>
  <c r="B25" i="9"/>
  <c r="H24" i="9"/>
  <c r="B27" i="5"/>
  <c r="B26" i="5"/>
  <c r="H24" i="5"/>
  <c r="H26" i="5" s="1"/>
  <c r="H25" i="9" l="1"/>
  <c r="H27" i="9" s="1"/>
  <c r="B28" i="9"/>
  <c r="B27" i="9"/>
  <c r="H25" i="8"/>
  <c r="H27" i="8" s="1"/>
  <c r="B27" i="8"/>
  <c r="B28" i="8"/>
</calcChain>
</file>

<file path=xl/sharedStrings.xml><?xml version="1.0" encoding="utf-8"?>
<sst xmlns="http://schemas.openxmlformats.org/spreadsheetml/2006/main" count="250" uniqueCount="127">
  <si>
    <t>totale</t>
  </si>
  <si>
    <t>fatturato medio anno</t>
  </si>
  <si>
    <t>TOTALE</t>
  </si>
  <si>
    <t>giorni lavorativi utili al calcolo del valore presunto della concessione</t>
  </si>
  <si>
    <t>gg</t>
  </si>
  <si>
    <t>anno</t>
  </si>
  <si>
    <t>festivi non ricadenti in fine settimana</t>
  </si>
  <si>
    <t>totale gg lavorativi</t>
  </si>
  <si>
    <t>da detrarre 32 gg annui (28 gg ferie + 4 festività soppresse) 32x5 ANNI</t>
  </si>
  <si>
    <t xml:space="preserve">TOTALE </t>
  </si>
  <si>
    <t xml:space="preserve">TOTALE GIORNI UTILI AL CALCOLO DEL VALORE PRESUNTO DELLA CONCESSIONE </t>
  </si>
  <si>
    <t>costi della sicurezza</t>
  </si>
  <si>
    <t>Caffè espresso</t>
  </si>
  <si>
    <t xml:space="preserve">Caffè lungo </t>
  </si>
  <si>
    <t xml:space="preserve">Caffè macchiato </t>
  </si>
  <si>
    <t xml:space="preserve">Cappuccino </t>
  </si>
  <si>
    <t xml:space="preserve">Caffè macchiato con cacao </t>
  </si>
  <si>
    <t xml:space="preserve">Cappuccino con cacao </t>
  </si>
  <si>
    <t xml:space="preserve">Latte macchiato </t>
  </si>
  <si>
    <t>Tè al limone</t>
  </si>
  <si>
    <t xml:space="preserve">Cioccolata calda </t>
  </si>
  <si>
    <t xml:space="preserve">Latte al cioccolato </t>
  </si>
  <si>
    <t>acqua naturale/ frizzante (bottiglie da 500ml)</t>
  </si>
  <si>
    <t xml:space="preserve">Snack salati </t>
  </si>
  <si>
    <t>Snack dolci</t>
  </si>
  <si>
    <t>snack dietetici</t>
  </si>
  <si>
    <t>COSTO MEDIO PRODOTTO</t>
  </si>
  <si>
    <t>anno bisestile 2028</t>
  </si>
  <si>
    <t>IVA INCLUSA</t>
  </si>
  <si>
    <t>IVA ESCLUSA</t>
  </si>
  <si>
    <t>Cappuccio Orzo</t>
  </si>
  <si>
    <t>Cappuccio decaffeinato</t>
  </si>
  <si>
    <t>Cappuccio ginseng</t>
  </si>
  <si>
    <t>CONTO ECONOMICO</t>
  </si>
  <si>
    <t>dal 01/09/2025</t>
  </si>
  <si>
    <t>fino al 31/08/2030</t>
  </si>
  <si>
    <t xml:space="preserve">numero medio prodotti per ciascun fruitore </t>
  </si>
  <si>
    <t>gg lavorativi utili al calcolo (no ferie no festività)</t>
  </si>
  <si>
    <t>N. TOTALE MACCHINARI</t>
  </si>
  <si>
    <t>DESCRIZIONE</t>
  </si>
  <si>
    <t>FATTURATO MEDIO ANNUO (IVA esclusa)</t>
  </si>
  <si>
    <t>RICAVI (A)</t>
  </si>
  <si>
    <t>costo del personale</t>
  </si>
  <si>
    <t>Spese generali</t>
  </si>
  <si>
    <t>COSTI (B)</t>
  </si>
  <si>
    <t>(C) Margine operativo lordo (A)-(B)</t>
  </si>
  <si>
    <t>IMPOSTA IRES (24%)</t>
  </si>
  <si>
    <t>IMPOSTA IRAP (3,9%)</t>
  </si>
  <si>
    <t>(D) COSTO ALLESTIMENTO/INVESTIMENTO</t>
  </si>
  <si>
    <t>(E) Ammortamento dei beni materiali</t>
  </si>
  <si>
    <t>(F) Utile ante imposte (C) -(E)</t>
  </si>
  <si>
    <t>(G) TOTALE IMPOSTE E TASSE</t>
  </si>
  <si>
    <t>PIANO ECONOMICO FINANZIARIO DI MASSIMA</t>
  </si>
  <si>
    <t>della somma tra materie prime, personale e traporto</t>
  </si>
  <si>
    <t>Materie prime</t>
  </si>
  <si>
    <t>per il numero totale delle erogazioni annue</t>
  </si>
  <si>
    <t xml:space="preserve">Costo della mano d'opera </t>
  </si>
  <si>
    <t>costo orario medio</t>
  </si>
  <si>
    <t>Costi della sicurezza</t>
  </si>
  <si>
    <t>del fatturato medio annuo</t>
  </si>
  <si>
    <t>Canone annuo</t>
  </si>
  <si>
    <t>Canone annuo (IVA esclusa)</t>
  </si>
  <si>
    <t>a macchinario</t>
  </si>
  <si>
    <t>Costo allestimento/investimento</t>
  </si>
  <si>
    <t>(H) UTILE NETTO (F) - (G)</t>
  </si>
  <si>
    <t>(I) FLUSSO DEL VAN al lordo delle imposte (C) - (D)</t>
  </si>
  <si>
    <t>costo medio prodotto (I.V.A. esclusa)</t>
  </si>
  <si>
    <t>costo dei trasporti delle materie prime (3,5% costo materie prime)</t>
  </si>
  <si>
    <t>costo materie prime</t>
  </si>
  <si>
    <t xml:space="preserve">SCHEMA QUADRO ECONOMICO DI SPESA </t>
  </si>
  <si>
    <t>A.1</t>
  </si>
  <si>
    <t>Importo dei servizi</t>
  </si>
  <si>
    <t>A.2</t>
  </si>
  <si>
    <t>A.3</t>
  </si>
  <si>
    <t>Totale importo dei lavori e delle forniture e dei servizi (A.1+A.2+A.3)</t>
  </si>
  <si>
    <t>B. SOMME A DISPOSIZIONE DELL'AMMINISTRAZIONE</t>
  </si>
  <si>
    <t>B. Somme a disposizione dell'Amministrazione</t>
  </si>
  <si>
    <t>B.1</t>
  </si>
  <si>
    <t>Eventuali spese per commissioni giudicatrici</t>
  </si>
  <si>
    <t>B.2</t>
  </si>
  <si>
    <t>Spese tecniche per progettazione, direzione lavori e coordinatore della sicurezza</t>
  </si>
  <si>
    <t>B.3</t>
  </si>
  <si>
    <t>Contributo ANAC</t>
  </si>
  <si>
    <t>B.4</t>
  </si>
  <si>
    <t>Fondo incentivo funzioni tecniche art. 45 D.lgs. 36/2016</t>
  </si>
  <si>
    <t>B.5</t>
  </si>
  <si>
    <t>Imprevisti, arrotondamenti e varie</t>
  </si>
  <si>
    <t>Totale Somme a disposizione dell'Amministrazione (B1+….+B5)</t>
  </si>
  <si>
    <t>C.  I.V.A</t>
  </si>
  <si>
    <t>C.   I.V.A.</t>
  </si>
  <si>
    <t>I.V.A. su Servizi  A.1</t>
  </si>
  <si>
    <t>Totale IVA</t>
  </si>
  <si>
    <t>TOTALE COSTO Q.E. (A+B+C)</t>
  </si>
  <si>
    <t>VALORE GLOBALE STIMATO DELL'APPALTO</t>
  </si>
  <si>
    <t>Totale importo dei servizi (A.1+A.2+A.3)</t>
  </si>
  <si>
    <t>Importo per l’opzione di proroga tecnica (art. 120, comma 11 del Codice) di mesi 6</t>
  </si>
  <si>
    <t>di cui Costi della manodopera non soggetti a ribasso</t>
  </si>
  <si>
    <t>di Oneri per la sicurezza da interferenza non soggetti a ribasso</t>
  </si>
  <si>
    <t>A. IMPORTO SERVIZI</t>
  </si>
  <si>
    <t>Valore globale stimato della concessione</t>
  </si>
  <si>
    <t>FLUSSO DEL VAN al netto delle imposte (I) - (G)</t>
  </si>
  <si>
    <t xml:space="preserve">NUMERO UTENTI </t>
  </si>
  <si>
    <t xml:space="preserve">Istituto Comprensivo Scolastico </t>
  </si>
  <si>
    <t>Numero Utenti</t>
  </si>
  <si>
    <t>NUMERO PRODOTTI</t>
  </si>
  <si>
    <t>FRUITORI GIORNALIERI, COSI' SUDDIVISI:</t>
  </si>
  <si>
    <t>Numero Macchinette</t>
  </si>
  <si>
    <t>NUMERO EROGAZIONE PRODOTTI</t>
  </si>
  <si>
    <t>MACCHINETTE</t>
  </si>
  <si>
    <t>C.1</t>
  </si>
  <si>
    <t>PRODOTTI</t>
  </si>
  <si>
    <t>LOTTO</t>
  </si>
  <si>
    <t>sabato</t>
  </si>
  <si>
    <t>domenica</t>
  </si>
  <si>
    <t>PIANO ECONOMICO FINANZIARIO DI MASSIMA TOTALE</t>
  </si>
  <si>
    <t xml:space="preserve">Orzo/ginseng </t>
  </si>
  <si>
    <t>Orzo/decaffeinato</t>
  </si>
  <si>
    <t>the freddo da 330 ml</t>
  </si>
  <si>
    <t>succhi di frutta in tetrapak 200 ml</t>
  </si>
  <si>
    <t>bevande fredde</t>
  </si>
  <si>
    <t>bibite gassate</t>
  </si>
  <si>
    <t>bevanda energetica</t>
  </si>
  <si>
    <t>Orzo/decaffeinato/ginseng macchiato</t>
  </si>
  <si>
    <t>LOTTO 4 - Comune di Bellizago Lombardo</t>
  </si>
  <si>
    <t>LOTTO 5 - Comune di Liscate</t>
  </si>
  <si>
    <t>LOTTO 6 - Comune di Pozzuolo Martesana</t>
  </si>
  <si>
    <t>Solo per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</si>
</sst>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&quot;€ &quot;#,##0.00"/>
    <numFmt numFmtId="168" formatCode="_-* #,##0.00\ [$€-410]_-;\-* #,##0.00\ [$€-410]_-;_-* &quot;-&quot;??\ [$€-410]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1F497D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i/>
      <sz val="12"/>
      <color theme="5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indexed="16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FF0000"/>
        <bgColor indexed="27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5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165" fontId="1" fillId="6" borderId="1" xfId="0" applyNumberFormat="1" applyFont="1" applyFill="1" applyBorder="1"/>
    <xf numFmtId="0" fontId="2" fillId="7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/>
    <xf numFmtId="43" fontId="7" fillId="7" borderId="0" xfId="1" applyFont="1" applyFill="1" applyBorder="1" applyAlignment="1">
      <alignment horizontal="right" wrapText="1"/>
    </xf>
    <xf numFmtId="164" fontId="7" fillId="7" borderId="0" xfId="0" applyNumberFormat="1" applyFont="1" applyFill="1" applyAlignment="1">
      <alignment horizontal="right" wrapText="1"/>
    </xf>
    <xf numFmtId="164" fontId="2" fillId="0" borderId="0" xfId="0" applyNumberFormat="1" applyFont="1"/>
    <xf numFmtId="43" fontId="8" fillId="7" borderId="0" xfId="1" applyFont="1" applyFill="1" applyBorder="1" applyAlignment="1">
      <alignment horizontal="right" wrapText="1"/>
    </xf>
    <xf numFmtId="43" fontId="8" fillId="3" borderId="0" xfId="1" applyFont="1" applyFill="1" applyBorder="1" applyAlignment="1">
      <alignment horizontal="right" wrapText="1"/>
    </xf>
    <xf numFmtId="0" fontId="4" fillId="0" borderId="0" xfId="0" applyFont="1"/>
    <xf numFmtId="164" fontId="8" fillId="7" borderId="0" xfId="0" applyNumberFormat="1" applyFont="1" applyFill="1" applyAlignment="1">
      <alignment horizontal="right" wrapText="1"/>
    </xf>
    <xf numFmtId="164" fontId="8" fillId="3" borderId="0" xfId="0" applyNumberFormat="1" applyFont="1" applyFill="1" applyAlignment="1">
      <alignment horizontal="right" wrapText="1"/>
    </xf>
    <xf numFmtId="2" fontId="8" fillId="7" borderId="0" xfId="1" applyNumberFormat="1" applyFont="1" applyFill="1" applyBorder="1" applyAlignment="1">
      <alignment horizontal="right" wrapText="1"/>
    </xf>
    <xf numFmtId="166" fontId="8" fillId="7" borderId="0" xfId="1" applyNumberFormat="1" applyFont="1" applyFill="1" applyBorder="1" applyAlignment="1">
      <alignment horizontal="right" wrapText="1"/>
    </xf>
    <xf numFmtId="166" fontId="8" fillId="7" borderId="0" xfId="0" applyNumberFormat="1" applyFont="1" applyFill="1" applyAlignment="1">
      <alignment horizontal="right" wrapText="1"/>
    </xf>
    <xf numFmtId="166" fontId="8" fillId="0" borderId="0" xfId="1" applyNumberFormat="1" applyFont="1" applyFill="1" applyBorder="1" applyAlignment="1">
      <alignment horizontal="right" wrapText="1"/>
    </xf>
    <xf numFmtId="0" fontId="9" fillId="0" borderId="0" xfId="0" applyFont="1" applyAlignment="1">
      <alignment vertical="center"/>
    </xf>
    <xf numFmtId="165" fontId="2" fillId="0" borderId="0" xfId="0" applyNumberFormat="1" applyFont="1"/>
    <xf numFmtId="166" fontId="8" fillId="3" borderId="0" xfId="1" applyNumberFormat="1" applyFont="1" applyFill="1" applyBorder="1" applyAlignment="1">
      <alignment horizontal="right" wrapText="1"/>
    </xf>
    <xf numFmtId="166" fontId="8" fillId="3" borderId="0" xfId="0" applyNumberFormat="1" applyFont="1" applyFill="1" applyAlignment="1">
      <alignment horizontal="right" wrapText="1"/>
    </xf>
    <xf numFmtId="0" fontId="7" fillId="7" borderId="0" xfId="0" applyFont="1" applyFill="1" applyAlignment="1">
      <alignment horizontal="left" vertical="center"/>
    </xf>
    <xf numFmtId="166" fontId="7" fillId="7" borderId="0" xfId="1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justify" vertical="center"/>
    </xf>
    <xf numFmtId="0" fontId="2" fillId="3" borderId="0" xfId="0" applyFont="1" applyFill="1" applyAlignment="1">
      <alignment horizontal="right" wrapText="1"/>
    </xf>
    <xf numFmtId="0" fontId="6" fillId="8" borderId="0" xfId="0" applyFont="1" applyFill="1" applyAlignment="1">
      <alignment horizontal="left" vertical="center" wrapText="1"/>
    </xf>
    <xf numFmtId="43" fontId="8" fillId="8" borderId="0" xfId="1" applyFont="1" applyFill="1" applyBorder="1" applyAlignment="1">
      <alignment horizontal="right" wrapText="1"/>
    </xf>
    <xf numFmtId="166" fontId="8" fillId="8" borderId="0" xfId="1" applyNumberFormat="1" applyFont="1" applyFill="1" applyBorder="1" applyAlignment="1">
      <alignment horizontal="right" wrapText="1"/>
    </xf>
    <xf numFmtId="0" fontId="6" fillId="9" borderId="0" xfId="0" applyFont="1" applyFill="1" applyAlignment="1">
      <alignment horizontal="left" vertical="center" wrapText="1"/>
    </xf>
    <xf numFmtId="166" fontId="8" fillId="9" borderId="0" xfId="1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43" fontId="7" fillId="7" borderId="0" xfId="1" applyFont="1" applyFill="1" applyBorder="1" applyAlignment="1">
      <alignment horizontal="right" vertical="center" wrapText="1"/>
    </xf>
    <xf numFmtId="164" fontId="7" fillId="7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/>
    </xf>
    <xf numFmtId="168" fontId="0" fillId="0" borderId="1" xfId="0" applyNumberFormat="1" applyBorder="1"/>
    <xf numFmtId="168" fontId="0" fillId="0" borderId="0" xfId="0" applyNumberFormat="1"/>
    <xf numFmtId="2" fontId="0" fillId="0" borderId="1" xfId="0" applyNumberFormat="1" applyBorder="1"/>
    <xf numFmtId="0" fontId="0" fillId="4" borderId="1" xfId="0" applyFill="1" applyBorder="1"/>
    <xf numFmtId="0" fontId="12" fillId="0" borderId="1" xfId="0" applyFont="1" applyBorder="1" applyAlignment="1">
      <alignment vertical="center"/>
    </xf>
    <xf numFmtId="0" fontId="13" fillId="0" borderId="0" xfId="0" applyFont="1"/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/>
    </xf>
    <xf numFmtId="0" fontId="1" fillId="0" borderId="1" xfId="0" applyFont="1" applyBorder="1"/>
    <xf numFmtId="165" fontId="1" fillId="8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16" borderId="0" xfId="0" applyFill="1"/>
    <xf numFmtId="0" fontId="1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right"/>
    </xf>
    <xf numFmtId="0" fontId="1" fillId="0" borderId="0" xfId="0" applyFont="1"/>
    <xf numFmtId="4" fontId="7" fillId="7" borderId="0" xfId="1" applyNumberFormat="1" applyFont="1" applyFill="1" applyBorder="1" applyAlignment="1">
      <alignment horizontal="right" wrapText="1"/>
    </xf>
    <xf numFmtId="4" fontId="7" fillId="7" borderId="0" xfId="0" applyNumberFormat="1" applyFont="1" applyFill="1" applyAlignment="1">
      <alignment horizontal="right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" fontId="13" fillId="0" borderId="0" xfId="0" applyNumberFormat="1" applyFont="1"/>
    <xf numFmtId="0" fontId="13" fillId="0" borderId="6" xfId="0" applyFont="1" applyBorder="1"/>
    <xf numFmtId="0" fontId="14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167" fontId="18" fillId="11" borderId="1" xfId="0" applyNumberFormat="1" applyFont="1" applyFill="1" applyBorder="1"/>
    <xf numFmtId="167" fontId="19" fillId="0" borderId="8" xfId="0" applyNumberFormat="1" applyFont="1" applyBorder="1" applyProtection="1">
      <protection locked="0"/>
    </xf>
    <xf numFmtId="0" fontId="17" fillId="0" borderId="1" xfId="0" applyFont="1" applyBorder="1" applyAlignment="1">
      <alignment vertical="center" wrapText="1"/>
    </xf>
    <xf numFmtId="167" fontId="19" fillId="0" borderId="1" xfId="0" applyNumberFormat="1" applyFont="1" applyBorder="1" applyProtection="1">
      <protection locked="0"/>
    </xf>
    <xf numFmtId="0" fontId="13" fillId="0" borderId="11" xfId="0" applyFont="1" applyBorder="1"/>
    <xf numFmtId="0" fontId="18" fillId="0" borderId="12" xfId="0" applyFont="1" applyBorder="1"/>
    <xf numFmtId="0" fontId="18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/>
    </xf>
    <xf numFmtId="167" fontId="13" fillId="0" borderId="15" xfId="0" applyNumberFormat="1" applyFont="1" applyBorder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67" fontId="13" fillId="0" borderId="1" xfId="0" applyNumberFormat="1" applyFont="1" applyBorder="1"/>
    <xf numFmtId="0" fontId="17" fillId="0" borderId="16" xfId="0" applyFont="1" applyBorder="1" applyAlignment="1">
      <alignment horizontal="center" vertical="center"/>
    </xf>
    <xf numFmtId="167" fontId="21" fillId="0" borderId="19" xfId="0" applyNumberFormat="1" applyFont="1" applyBorder="1"/>
    <xf numFmtId="0" fontId="13" fillId="0" borderId="11" xfId="0" applyFont="1" applyBorder="1" applyAlignment="1">
      <alignment vertical="center" textRotation="90" wrapText="1"/>
    </xf>
    <xf numFmtId="0" fontId="18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9" fontId="13" fillId="0" borderId="1" xfId="2" applyFont="1" applyBorder="1" applyAlignment="1" applyProtection="1">
      <alignment horizontal="center"/>
      <protection locked="0"/>
    </xf>
    <xf numFmtId="167" fontId="20" fillId="0" borderId="13" xfId="0" applyNumberFormat="1" applyFont="1" applyBorder="1"/>
    <xf numFmtId="0" fontId="18" fillId="13" borderId="3" xfId="0" applyFont="1" applyFill="1" applyBorder="1" applyAlignment="1">
      <alignment horizontal="center" vertical="center" textRotation="90"/>
    </xf>
    <xf numFmtId="0" fontId="17" fillId="0" borderId="20" xfId="0" applyFont="1" applyBorder="1" applyAlignment="1">
      <alignment horizontal="center" vertical="center"/>
    </xf>
    <xf numFmtId="0" fontId="18" fillId="14" borderId="0" xfId="0" applyFont="1" applyFill="1" applyAlignment="1">
      <alignment horizontal="center" vertical="center" textRotation="90"/>
    </xf>
    <xf numFmtId="0" fontId="18" fillId="0" borderId="0" xfId="0" applyFont="1" applyAlignment="1">
      <alignment vertical="center" wrapText="1"/>
    </xf>
    <xf numFmtId="9" fontId="13" fillId="0" borderId="0" xfId="2" applyFont="1" applyBorder="1" applyAlignment="1">
      <alignment horizontal="center"/>
    </xf>
    <xf numFmtId="0" fontId="23" fillId="0" borderId="0" xfId="0" applyFont="1" applyAlignment="1">
      <alignment wrapText="1"/>
    </xf>
    <xf numFmtId="0" fontId="18" fillId="15" borderId="3" xfId="0" applyFont="1" applyFill="1" applyBorder="1" applyAlignment="1">
      <alignment horizontal="center" vertical="center" textRotation="90"/>
    </xf>
    <xf numFmtId="167" fontId="23" fillId="0" borderId="23" xfId="0" applyNumberFormat="1" applyFont="1" applyBorder="1"/>
    <xf numFmtId="0" fontId="13" fillId="0" borderId="0" xfId="0" applyFont="1" applyAlignment="1">
      <alignment vertical="center" wrapText="1"/>
    </xf>
    <xf numFmtId="167" fontId="1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167" fontId="22" fillId="0" borderId="26" xfId="0" applyNumberFormat="1" applyFont="1" applyBorder="1"/>
    <xf numFmtId="167" fontId="20" fillId="0" borderId="14" xfId="0" applyNumberFormat="1" applyFont="1" applyBorder="1" applyProtection="1">
      <protection locked="0"/>
    </xf>
    <xf numFmtId="167" fontId="20" fillId="0" borderId="27" xfId="0" applyNumberFormat="1" applyFont="1" applyBorder="1" applyProtection="1">
      <protection locked="0"/>
    </xf>
    <xf numFmtId="0" fontId="17" fillId="0" borderId="34" xfId="0" applyFont="1" applyBorder="1" applyAlignment="1">
      <alignment horizontal="center" vertical="center"/>
    </xf>
    <xf numFmtId="0" fontId="17" fillId="0" borderId="34" xfId="0" applyFont="1" applyBorder="1" applyAlignment="1">
      <alignment vertical="center"/>
    </xf>
    <xf numFmtId="167" fontId="18" fillId="11" borderId="34" xfId="0" applyNumberFormat="1" applyFont="1" applyFill="1" applyBorder="1"/>
    <xf numFmtId="167" fontId="20" fillId="0" borderId="34" xfId="0" applyNumberFormat="1" applyFont="1" applyBorder="1"/>
    <xf numFmtId="167" fontId="21" fillId="0" borderId="19" xfId="0" applyNumberFormat="1" applyFont="1" applyBorder="1" applyProtection="1">
      <protection locked="0"/>
    </xf>
    <xf numFmtId="0" fontId="13" fillId="11" borderId="31" xfId="0" applyFont="1" applyFill="1" applyBorder="1"/>
    <xf numFmtId="0" fontId="13" fillId="11" borderId="32" xfId="0" applyFont="1" applyFill="1" applyBorder="1"/>
    <xf numFmtId="0" fontId="13" fillId="11" borderId="33" xfId="0" applyFont="1" applyFill="1" applyBorder="1"/>
    <xf numFmtId="167" fontId="14" fillId="17" borderId="1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left" vertical="center" wrapText="1"/>
    </xf>
    <xf numFmtId="43" fontId="7" fillId="7" borderId="24" xfId="1" applyFont="1" applyFill="1" applyBorder="1" applyAlignment="1">
      <alignment horizontal="right" wrapText="1"/>
    </xf>
    <xf numFmtId="164" fontId="7" fillId="7" borderId="37" xfId="0" applyNumberFormat="1" applyFont="1" applyFill="1" applyBorder="1" applyAlignment="1">
      <alignment horizontal="right" wrapText="1"/>
    </xf>
    <xf numFmtId="0" fontId="6" fillId="7" borderId="38" xfId="0" applyFont="1" applyFill="1" applyBorder="1" applyAlignment="1">
      <alignment horizontal="left" vertical="center" wrapText="1"/>
    </xf>
    <xf numFmtId="43" fontId="8" fillId="7" borderId="39" xfId="1" applyFont="1" applyFill="1" applyBorder="1" applyAlignment="1">
      <alignment horizontal="right" wrapText="1"/>
    </xf>
    <xf numFmtId="0" fontId="6" fillId="3" borderId="38" xfId="0" applyFont="1" applyFill="1" applyBorder="1" applyAlignment="1">
      <alignment horizontal="left" vertical="center" wrapText="1"/>
    </xf>
    <xf numFmtId="43" fontId="8" fillId="3" borderId="39" xfId="1" applyFont="1" applyFill="1" applyBorder="1" applyAlignment="1">
      <alignment horizontal="right" wrapText="1"/>
    </xf>
    <xf numFmtId="0" fontId="2" fillId="7" borderId="38" xfId="0" applyFont="1" applyFill="1" applyBorder="1" applyAlignment="1">
      <alignment horizontal="left" vertical="center" wrapText="1"/>
    </xf>
    <xf numFmtId="4" fontId="7" fillId="7" borderId="39" xfId="0" applyNumberFormat="1" applyFont="1" applyFill="1" applyBorder="1" applyAlignment="1">
      <alignment horizontal="right" wrapText="1"/>
    </xf>
    <xf numFmtId="164" fontId="7" fillId="7" borderId="39" xfId="0" applyNumberFormat="1" applyFont="1" applyFill="1" applyBorder="1" applyAlignment="1">
      <alignment horizontal="right" wrapText="1"/>
    </xf>
    <xf numFmtId="164" fontId="7" fillId="7" borderId="39" xfId="0" applyNumberFormat="1" applyFont="1" applyFill="1" applyBorder="1" applyAlignment="1">
      <alignment horizontal="right" vertical="center" wrapText="1"/>
    </xf>
    <xf numFmtId="0" fontId="7" fillId="7" borderId="38" xfId="0" applyFont="1" applyFill="1" applyBorder="1" applyAlignment="1">
      <alignment horizontal="left" vertical="center" wrapText="1"/>
    </xf>
    <xf numFmtId="164" fontId="8" fillId="7" borderId="39" xfId="0" applyNumberFormat="1" applyFont="1" applyFill="1" applyBorder="1" applyAlignment="1">
      <alignment horizontal="right" wrapText="1"/>
    </xf>
    <xf numFmtId="164" fontId="8" fillId="3" borderId="39" xfId="0" applyNumberFormat="1" applyFont="1" applyFill="1" applyBorder="1" applyAlignment="1">
      <alignment horizontal="right" wrapText="1"/>
    </xf>
    <xf numFmtId="0" fontId="6" fillId="8" borderId="38" xfId="0" applyFont="1" applyFill="1" applyBorder="1" applyAlignment="1">
      <alignment horizontal="left" vertical="center" wrapText="1"/>
    </xf>
    <xf numFmtId="43" fontId="8" fillId="8" borderId="39" xfId="1" applyFont="1" applyFill="1" applyBorder="1" applyAlignment="1">
      <alignment horizontal="right" wrapText="1"/>
    </xf>
    <xf numFmtId="166" fontId="8" fillId="7" borderId="39" xfId="0" applyNumberFormat="1" applyFont="1" applyFill="1" applyBorder="1" applyAlignment="1">
      <alignment horizontal="right" wrapText="1"/>
    </xf>
    <xf numFmtId="166" fontId="8" fillId="3" borderId="39" xfId="0" applyNumberFormat="1" applyFont="1" applyFill="1" applyBorder="1" applyAlignment="1">
      <alignment horizontal="right" wrapText="1"/>
    </xf>
    <xf numFmtId="0" fontId="7" fillId="7" borderId="38" xfId="0" applyFont="1" applyFill="1" applyBorder="1" applyAlignment="1">
      <alignment horizontal="left" vertical="center"/>
    </xf>
    <xf numFmtId="166" fontId="7" fillId="7" borderId="39" xfId="1" applyNumberFormat="1" applyFont="1" applyFill="1" applyBorder="1" applyAlignment="1">
      <alignment horizontal="right" wrapText="1"/>
    </xf>
    <xf numFmtId="166" fontId="8" fillId="7" borderId="39" xfId="1" applyNumberFormat="1" applyFont="1" applyFill="1" applyBorder="1" applyAlignment="1">
      <alignment horizontal="right" wrapText="1"/>
    </xf>
    <xf numFmtId="0" fontId="2" fillId="3" borderId="38" xfId="0" applyFont="1" applyFill="1" applyBorder="1" applyAlignment="1">
      <alignment horizontal="justify" vertical="center"/>
    </xf>
    <xf numFmtId="0" fontId="2" fillId="3" borderId="39" xfId="0" applyFont="1" applyFill="1" applyBorder="1" applyAlignment="1">
      <alignment horizontal="right" wrapText="1"/>
    </xf>
    <xf numFmtId="0" fontId="6" fillId="9" borderId="38" xfId="0" applyFont="1" applyFill="1" applyBorder="1" applyAlignment="1">
      <alignment horizontal="left" vertical="center" wrapText="1"/>
    </xf>
    <xf numFmtId="166" fontId="8" fillId="9" borderId="39" xfId="1" applyNumberFormat="1" applyFont="1" applyFill="1" applyBorder="1" applyAlignment="1">
      <alignment horizontal="right" wrapText="1"/>
    </xf>
    <xf numFmtId="0" fontId="6" fillId="8" borderId="40" xfId="0" applyFont="1" applyFill="1" applyBorder="1" applyAlignment="1">
      <alignment horizontal="left" vertical="center" wrapText="1"/>
    </xf>
    <xf numFmtId="166" fontId="8" fillId="8" borderId="41" xfId="1" applyNumberFormat="1" applyFont="1" applyFill="1" applyBorder="1" applyAlignment="1">
      <alignment horizontal="right" wrapText="1"/>
    </xf>
    <xf numFmtId="166" fontId="8" fillId="8" borderId="42" xfId="1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1" fillId="18" borderId="1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5" borderId="1" xfId="0" applyFill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5" fontId="14" fillId="19" borderId="1" xfId="0" applyNumberFormat="1" applyFont="1" applyFill="1" applyBorder="1" applyAlignment="1">
      <alignment horizontal="right"/>
    </xf>
    <xf numFmtId="167" fontId="19" fillId="19" borderId="1" xfId="0" applyNumberFormat="1" applyFont="1" applyFill="1" applyBorder="1" applyProtection="1">
      <protection locked="0"/>
    </xf>
    <xf numFmtId="0" fontId="13" fillId="19" borderId="29" xfId="0" applyFont="1" applyFill="1" applyBorder="1"/>
    <xf numFmtId="165" fontId="21" fillId="19" borderId="3" xfId="0" applyNumberFormat="1" applyFont="1" applyFill="1" applyBorder="1"/>
    <xf numFmtId="167" fontId="20" fillId="19" borderId="14" xfId="0" applyNumberFormat="1" applyFont="1" applyFill="1" applyBorder="1" applyProtection="1">
      <protection locked="0"/>
    </xf>
    <xf numFmtId="167" fontId="20" fillId="19" borderId="27" xfId="0" applyNumberFormat="1" applyFont="1" applyFill="1" applyBorder="1" applyProtection="1">
      <protection locked="0"/>
    </xf>
    <xf numFmtId="0" fontId="13" fillId="19" borderId="34" xfId="0" applyFont="1" applyFill="1" applyBorder="1"/>
    <xf numFmtId="165" fontId="13" fillId="19" borderId="0" xfId="0" applyNumberFormat="1" applyFont="1" applyFill="1"/>
    <xf numFmtId="167" fontId="23" fillId="19" borderId="23" xfId="0" applyNumberFormat="1" applyFont="1" applyFill="1" applyBorder="1"/>
    <xf numFmtId="165" fontId="14" fillId="20" borderId="1" xfId="0" applyNumberFormat="1" applyFont="1" applyFill="1" applyBorder="1" applyAlignment="1">
      <alignment horizontal="right"/>
    </xf>
    <xf numFmtId="167" fontId="19" fillId="20" borderId="1" xfId="0" applyNumberFormat="1" applyFont="1" applyFill="1" applyBorder="1" applyProtection="1">
      <protection locked="0"/>
    </xf>
    <xf numFmtId="0" fontId="13" fillId="20" borderId="30" xfId="0" applyFont="1" applyFill="1" applyBorder="1"/>
    <xf numFmtId="165" fontId="21" fillId="20" borderId="4" xfId="0" applyNumberFormat="1" applyFont="1" applyFill="1" applyBorder="1"/>
    <xf numFmtId="167" fontId="20" fillId="20" borderId="14" xfId="0" applyNumberFormat="1" applyFont="1" applyFill="1" applyBorder="1" applyProtection="1">
      <protection locked="0"/>
    </xf>
    <xf numFmtId="167" fontId="20" fillId="20" borderId="27" xfId="0" applyNumberFormat="1" applyFont="1" applyFill="1" applyBorder="1" applyProtection="1">
      <protection locked="0"/>
    </xf>
    <xf numFmtId="0" fontId="13" fillId="20" borderId="34" xfId="0" applyFont="1" applyFill="1" applyBorder="1"/>
    <xf numFmtId="165" fontId="13" fillId="20" borderId="0" xfId="0" applyNumberFormat="1" applyFont="1" applyFill="1"/>
    <xf numFmtId="167" fontId="23" fillId="20" borderId="23" xfId="0" applyNumberFormat="1" applyFont="1" applyFill="1" applyBorder="1"/>
    <xf numFmtId="165" fontId="14" fillId="18" borderId="1" xfId="0" applyNumberFormat="1" applyFont="1" applyFill="1" applyBorder="1" applyAlignment="1">
      <alignment horizontal="right"/>
    </xf>
    <xf numFmtId="167" fontId="19" fillId="18" borderId="1" xfId="0" applyNumberFormat="1" applyFont="1" applyFill="1" applyBorder="1" applyProtection="1">
      <protection locked="0"/>
    </xf>
    <xf numFmtId="0" fontId="13" fillId="18" borderId="2" xfId="0" applyFont="1" applyFill="1" applyBorder="1"/>
    <xf numFmtId="165" fontId="21" fillId="18" borderId="5" xfId="0" applyNumberFormat="1" applyFont="1" applyFill="1" applyBorder="1"/>
    <xf numFmtId="167" fontId="20" fillId="18" borderId="14" xfId="0" applyNumberFormat="1" applyFont="1" applyFill="1" applyBorder="1" applyProtection="1">
      <protection locked="0"/>
    </xf>
    <xf numFmtId="167" fontId="20" fillId="18" borderId="27" xfId="0" applyNumberFormat="1" applyFont="1" applyFill="1" applyBorder="1" applyProtection="1">
      <protection locked="0"/>
    </xf>
    <xf numFmtId="0" fontId="13" fillId="18" borderId="34" xfId="0" applyFont="1" applyFill="1" applyBorder="1"/>
    <xf numFmtId="165" fontId="13" fillId="18" borderId="0" xfId="0" applyNumberFormat="1" applyFont="1" applyFill="1"/>
    <xf numFmtId="167" fontId="23" fillId="18" borderId="23" xfId="0" applyNumberFormat="1" applyFont="1" applyFill="1" applyBorder="1"/>
    <xf numFmtId="4" fontId="14" fillId="0" borderId="0" xfId="0" applyNumberFormat="1" applyFont="1" applyAlignment="1">
      <alignment horizontal="right" vertical="center" wrapText="1"/>
    </xf>
    <xf numFmtId="165" fontId="14" fillId="0" borderId="0" xfId="0" applyNumberFormat="1" applyFont="1" applyAlignment="1">
      <alignment horizontal="justify" vertical="center" wrapText="1"/>
    </xf>
    <xf numFmtId="165" fontId="0" fillId="0" borderId="0" xfId="0" applyNumberFormat="1"/>
    <xf numFmtId="0" fontId="10" fillId="0" borderId="0" xfId="0" applyFont="1" applyAlignment="1">
      <alignment horizontal="center"/>
    </xf>
    <xf numFmtId="0" fontId="10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18" fillId="0" borderId="1" xfId="0" applyFont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/>
    </xf>
    <xf numFmtId="0" fontId="18" fillId="13" borderId="13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24" fillId="0" borderId="21" xfId="0" applyFont="1" applyBorder="1" applyAlignment="1">
      <alignment horizontal="right" wrapText="1"/>
    </xf>
    <xf numFmtId="0" fontId="24" fillId="0" borderId="4" xfId="0" applyFont="1" applyBorder="1" applyAlignment="1">
      <alignment horizontal="right" wrapText="1"/>
    </xf>
    <xf numFmtId="0" fontId="24" fillId="0" borderId="22" xfId="0" applyFont="1" applyBorder="1" applyAlignment="1">
      <alignment horizontal="right" wrapText="1"/>
    </xf>
    <xf numFmtId="0" fontId="14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7" fillId="13" borderId="27" xfId="0" applyFont="1" applyFill="1" applyBorder="1" applyAlignment="1">
      <alignment horizontal="center" vertical="center"/>
    </xf>
    <xf numFmtId="0" fontId="17" fillId="13" borderId="28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0" fontId="17" fillId="12" borderId="2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18" fillId="10" borderId="7" xfId="0" applyFont="1" applyFill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11" borderId="31" xfId="0" applyFont="1" applyFill="1" applyBorder="1" applyAlignment="1">
      <alignment horizontal="center" vertical="center"/>
    </xf>
    <xf numFmtId="0" fontId="17" fillId="11" borderId="32" xfId="0" applyFont="1" applyFill="1" applyBorder="1" applyAlignment="1">
      <alignment horizontal="center" vertical="center"/>
    </xf>
    <xf numFmtId="0" fontId="17" fillId="11" borderId="33" xfId="0" applyFont="1" applyFill="1" applyBorder="1" applyAlignment="1">
      <alignment horizontal="center" vertical="center"/>
    </xf>
    <xf numFmtId="0" fontId="18" fillId="12" borderId="13" xfId="0" applyFont="1" applyFill="1" applyBorder="1" applyAlignment="1">
      <alignment horizontal="center" vertical="center" textRotation="90" wrapText="1"/>
    </xf>
    <xf numFmtId="0" fontId="18" fillId="12" borderId="14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19B8-3344-41BD-BC9C-73A74BA31041}">
  <sheetPr codeName="Foglio1">
    <pageSetUpPr fitToPage="1"/>
  </sheetPr>
  <dimension ref="A1:I35"/>
  <sheetViews>
    <sheetView topLeftCell="A13" zoomScale="115" zoomScaleNormal="115" workbookViewId="0">
      <selection activeCell="C13" sqref="C13"/>
    </sheetView>
  </sheetViews>
  <sheetFormatPr defaultColWidth="8.88671875" defaultRowHeight="13.8" x14ac:dyDescent="0.3"/>
  <cols>
    <col min="1" max="1" width="45.88671875" style="13" customWidth="1"/>
    <col min="2" max="7" width="11.5546875" style="13" customWidth="1"/>
    <col min="8" max="8" width="14.33203125" style="13" customWidth="1"/>
    <col min="9" max="9" width="9.33203125" style="13" bestFit="1" customWidth="1"/>
    <col min="10" max="16384" width="8.88671875" style="13"/>
  </cols>
  <sheetData>
    <row r="1" spans="1:9" ht="33.6" x14ac:dyDescent="0.65">
      <c r="A1" s="195" t="s">
        <v>114</v>
      </c>
      <c r="B1" s="195"/>
      <c r="C1" s="195"/>
      <c r="D1" s="195"/>
      <c r="E1" s="195"/>
      <c r="F1" s="195"/>
      <c r="G1" s="195"/>
      <c r="H1" s="195"/>
    </row>
    <row r="2" spans="1:9" ht="28.2" thickBot="1" x14ac:dyDescent="0.35">
      <c r="A2" s="125" t="s">
        <v>39</v>
      </c>
      <c r="B2" s="125" t="s">
        <v>34</v>
      </c>
      <c r="C2" s="125">
        <v>2026</v>
      </c>
      <c r="D2" s="125">
        <v>2027</v>
      </c>
      <c r="E2" s="125">
        <v>2028</v>
      </c>
      <c r="F2" s="125">
        <v>2029</v>
      </c>
      <c r="G2" s="125" t="s">
        <v>35</v>
      </c>
      <c r="H2" s="125" t="s">
        <v>2</v>
      </c>
    </row>
    <row r="3" spans="1:9" x14ac:dyDescent="0.3">
      <c r="A3" s="126" t="s">
        <v>40</v>
      </c>
      <c r="B3" s="127">
        <f>'calcolo fatturato'!C11</f>
        <v>4462.1999999999989</v>
      </c>
      <c r="C3" s="127">
        <f>'calcolo fatturato'!D11</f>
        <v>13326.299999999997</v>
      </c>
      <c r="D3" s="127">
        <f>'calcolo fatturato'!E11</f>
        <v>18051.62727272727</v>
      </c>
      <c r="E3" s="127">
        <f>'calcolo fatturato'!F11</f>
        <v>17645.05909090909</v>
      </c>
      <c r="F3" s="127">
        <f>'calcolo fatturato'!G11</f>
        <v>17888.999999999996</v>
      </c>
      <c r="G3" s="127">
        <f>'calcolo fatturato'!H11</f>
        <v>11953.104545454546</v>
      </c>
      <c r="H3" s="128">
        <f t="shared" ref="H3:H16" si="0">SUM(B3:G3)</f>
        <v>83327.290909090894</v>
      </c>
      <c r="I3" s="16"/>
    </row>
    <row r="4" spans="1:9" x14ac:dyDescent="0.3">
      <c r="A4" s="129" t="s">
        <v>41</v>
      </c>
      <c r="B4" s="17">
        <f>B3</f>
        <v>4462.1999999999989</v>
      </c>
      <c r="C4" s="17">
        <f t="shared" ref="C4:H4" si="1">C3</f>
        <v>13326.299999999997</v>
      </c>
      <c r="D4" s="17">
        <f t="shared" si="1"/>
        <v>18051.62727272727</v>
      </c>
      <c r="E4" s="17">
        <f t="shared" si="1"/>
        <v>17645.05909090909</v>
      </c>
      <c r="F4" s="17">
        <f t="shared" si="1"/>
        <v>17888.999999999996</v>
      </c>
      <c r="G4" s="17">
        <f t="shared" si="1"/>
        <v>11953.104545454546</v>
      </c>
      <c r="H4" s="130">
        <f t="shared" si="1"/>
        <v>83327.290909090894</v>
      </c>
      <c r="I4" s="16"/>
    </row>
    <row r="5" spans="1:9" x14ac:dyDescent="0.3">
      <c r="A5" s="131"/>
      <c r="B5" s="18"/>
      <c r="C5" s="18"/>
      <c r="D5" s="18"/>
      <c r="E5" s="18"/>
      <c r="F5" s="18"/>
      <c r="G5" s="18"/>
      <c r="H5" s="132"/>
      <c r="I5" s="16"/>
    </row>
    <row r="6" spans="1:9" x14ac:dyDescent="0.3">
      <c r="A6" s="133" t="s">
        <v>43</v>
      </c>
      <c r="B6" s="68">
        <f t="shared" ref="B6:G6" si="2">$B$29*(B7+B8+B9)</f>
        <v>259.86824999999999</v>
      </c>
      <c r="C6" s="68">
        <f t="shared" si="2"/>
        <v>769.23112499999991</v>
      </c>
      <c r="D6" s="68">
        <f t="shared" si="2"/>
        <v>1037.6733750000001</v>
      </c>
      <c r="E6" s="68">
        <f t="shared" si="2"/>
        <v>1020.4018125000001</v>
      </c>
      <c r="F6" s="68">
        <f t="shared" si="2"/>
        <v>1030.76475</v>
      </c>
      <c r="G6" s="68">
        <f t="shared" si="2"/>
        <v>684.85593749999987</v>
      </c>
      <c r="H6" s="134">
        <f t="shared" si="0"/>
        <v>4802.7952500000001</v>
      </c>
    </row>
    <row r="7" spans="1:9" x14ac:dyDescent="0.3">
      <c r="A7" s="133" t="s">
        <v>68</v>
      </c>
      <c r="B7" s="14">
        <f>$B$30*'calcolo fatturato'!C17</f>
        <v>1221</v>
      </c>
      <c r="C7" s="14">
        <f>$B$30*'calcolo fatturato'!D17</f>
        <v>3646.5</v>
      </c>
      <c r="D7" s="14">
        <f>$B$30*'calcolo fatturato'!E17</f>
        <v>4939.5</v>
      </c>
      <c r="E7" s="14">
        <f>$B$30*'calcolo fatturato'!F17</f>
        <v>4828.25</v>
      </c>
      <c r="F7" s="14">
        <f>$B$30*'calcolo fatturato'!G17</f>
        <v>4895</v>
      </c>
      <c r="G7" s="14">
        <f>$B$30*'calcolo fatturato'!H17</f>
        <v>3270.75</v>
      </c>
      <c r="H7" s="135">
        <f t="shared" si="0"/>
        <v>22801</v>
      </c>
    </row>
    <row r="8" spans="1:9" x14ac:dyDescent="0.3">
      <c r="A8" s="133" t="s">
        <v>42</v>
      </c>
      <c r="B8" s="14">
        <f>'PEF "BELLINZAGO LOMBARDO"'!B9+'PEF "LISCATE"'!B9+'PEF "POZZUOLO MARTESANA"'!B9</f>
        <v>468.72</v>
      </c>
      <c r="C8" s="14">
        <f>'PEF "BELLINZAGO LOMBARDO"'!C9+'PEF "LISCATE"'!C9+'PEF "POZZUOLO MARTESANA"'!C9</f>
        <v>1354.08</v>
      </c>
      <c r="D8" s="14">
        <f>'PEF "BELLINZAGO LOMBARDO"'!D9+'PEF "LISCATE"'!D9+'PEF "POZZUOLO MARTESANA"'!D9</f>
        <v>1805.44</v>
      </c>
      <c r="E8" s="14">
        <f>'PEF "BELLINZAGO LOMBARDO"'!E9+'PEF "LISCATE"'!E9+'PEF "POZZUOLO MARTESANA"'!E9</f>
        <v>1805.44</v>
      </c>
      <c r="F8" s="14">
        <f>'PEF "BELLINZAGO LOMBARDO"'!F9+'PEF "LISCATE"'!F9+'PEF "POZZUOLO MARTESANA"'!F9</f>
        <v>1805.44</v>
      </c>
      <c r="G8" s="14">
        <f>'PEF "BELLINZAGO LOMBARDO"'!G9+'PEF "LISCATE"'!G9+'PEF "POZZUOLO MARTESANA"'!G9</f>
        <v>1180.48</v>
      </c>
      <c r="H8" s="135">
        <f>SUM(B8:G8)</f>
        <v>8419.6</v>
      </c>
    </row>
    <row r="9" spans="1:9" s="49" customFormat="1" ht="27.6" x14ac:dyDescent="0.3">
      <c r="A9" s="133" t="s">
        <v>67</v>
      </c>
      <c r="B9" s="47">
        <f>3.5%*B7</f>
        <v>42.735000000000007</v>
      </c>
      <c r="C9" s="47">
        <f t="shared" ref="C9:G9" si="3">3.5%*C7</f>
        <v>127.62750000000001</v>
      </c>
      <c r="D9" s="47">
        <f t="shared" si="3"/>
        <v>172.88250000000002</v>
      </c>
      <c r="E9" s="47">
        <f t="shared" si="3"/>
        <v>168.98875000000001</v>
      </c>
      <c r="F9" s="47">
        <f t="shared" si="3"/>
        <v>171.32500000000002</v>
      </c>
      <c r="G9" s="47">
        <f t="shared" si="3"/>
        <v>114.47625000000001</v>
      </c>
      <c r="H9" s="136">
        <f>SUM(B9:G9)</f>
        <v>798.03500000000008</v>
      </c>
    </row>
    <row r="10" spans="1:9" s="19" customFormat="1" x14ac:dyDescent="0.3">
      <c r="A10" s="137" t="s">
        <v>11</v>
      </c>
      <c r="B10" s="14">
        <f>'PEF "BELLINZAGO LOMBARDO"'!B11+'PEF "LISCATE"'!B11+'PEF "POZZUOLO MARTESANA"'!B11</f>
        <v>22.310999999999993</v>
      </c>
      <c r="C10" s="14">
        <f>'PEF "BELLINZAGO LOMBARDO"'!C11+'PEF "LISCATE"'!C11+'PEF "POZZUOLO MARTESANA"'!C11</f>
        <v>66.631499999999988</v>
      </c>
      <c r="D10" s="14">
        <f>'PEF "BELLINZAGO LOMBARDO"'!D11+'PEF "LISCATE"'!D11+'PEF "POZZUOLO MARTESANA"'!D11</f>
        <v>90.258136363636368</v>
      </c>
      <c r="E10" s="14">
        <f>'PEF "BELLINZAGO LOMBARDO"'!E11+'PEF "LISCATE"'!E11+'PEF "POZZUOLO MARTESANA"'!E11</f>
        <v>88.225295454545446</v>
      </c>
      <c r="F10" s="14">
        <f>'PEF "BELLINZAGO LOMBARDO"'!F11+'PEF "LISCATE"'!F11+'PEF "POZZUOLO MARTESANA"'!F11</f>
        <v>89.444999999999993</v>
      </c>
      <c r="G10" s="14">
        <f>'PEF "BELLINZAGO LOMBARDO"'!G11+'PEF "LISCATE"'!G11+'PEF "POZZUOLO MARTESANA"'!G11</f>
        <v>59.765522727272732</v>
      </c>
      <c r="H10" s="135">
        <f t="shared" si="0"/>
        <v>416.63645454545457</v>
      </c>
    </row>
    <row r="11" spans="1:9" x14ac:dyDescent="0.3">
      <c r="A11" s="133" t="s">
        <v>61</v>
      </c>
      <c r="B11" s="14">
        <f>'PEF "BELLINZAGO LOMBARDO"'!B12+'PEF "LISCATE"'!B12+'PEF "POZZUOLO MARTESANA"'!B12</f>
        <v>240</v>
      </c>
      <c r="C11" s="14">
        <f>'PEF "BELLINZAGO LOMBARDO"'!C12+'PEF "LISCATE"'!C12+'PEF "POZZUOLO MARTESANA"'!C12</f>
        <v>720</v>
      </c>
      <c r="D11" s="14">
        <f>'PEF "BELLINZAGO LOMBARDO"'!D12+'PEF "LISCATE"'!D12+'PEF "POZZUOLO MARTESANA"'!D12</f>
        <v>960</v>
      </c>
      <c r="E11" s="14">
        <f>'PEF "BELLINZAGO LOMBARDO"'!E12+'PEF "LISCATE"'!E12+'PEF "POZZUOLO MARTESANA"'!E12</f>
        <v>960</v>
      </c>
      <c r="F11" s="14">
        <f>'PEF "BELLINZAGO LOMBARDO"'!F12+'PEF "LISCATE"'!F12+'PEF "POZZUOLO MARTESANA"'!F12</f>
        <v>960</v>
      </c>
      <c r="G11" s="14">
        <f>'PEF "BELLINZAGO LOMBARDO"'!G12+'PEF "LISCATE"'!G12+'PEF "POZZUOLO MARTESANA"'!G12</f>
        <v>640</v>
      </c>
      <c r="H11" s="135">
        <f t="shared" si="0"/>
        <v>4480</v>
      </c>
    </row>
    <row r="12" spans="1:9" x14ac:dyDescent="0.3">
      <c r="A12" s="129" t="s">
        <v>44</v>
      </c>
      <c r="B12" s="17">
        <f t="shared" ref="B12:G12" si="4">SUM(B6:B11)</f>
        <v>2254.6342500000001</v>
      </c>
      <c r="C12" s="17">
        <f t="shared" si="4"/>
        <v>6684.0701250000002</v>
      </c>
      <c r="D12" s="17">
        <f t="shared" si="4"/>
        <v>9005.7540113636369</v>
      </c>
      <c r="E12" s="17">
        <f t="shared" si="4"/>
        <v>8871.3058579545468</v>
      </c>
      <c r="F12" s="17">
        <f t="shared" si="4"/>
        <v>8951.9747500000012</v>
      </c>
      <c r="G12" s="17">
        <f t="shared" si="4"/>
        <v>5950.3277102272723</v>
      </c>
      <c r="H12" s="138">
        <f t="shared" si="0"/>
        <v>41718.066704545454</v>
      </c>
    </row>
    <row r="13" spans="1:9" x14ac:dyDescent="0.3">
      <c r="A13" s="131"/>
      <c r="B13" s="18"/>
      <c r="C13" s="18"/>
      <c r="D13" s="18"/>
      <c r="E13" s="18"/>
      <c r="F13" s="18"/>
      <c r="G13" s="18"/>
      <c r="H13" s="139"/>
    </row>
    <row r="14" spans="1:9" x14ac:dyDescent="0.3">
      <c r="A14" s="129" t="s">
        <v>45</v>
      </c>
      <c r="B14" s="17">
        <f t="shared" ref="B14:H14" si="5">B4-B12</f>
        <v>2207.5657499999988</v>
      </c>
      <c r="C14" s="17">
        <f t="shared" si="5"/>
        <v>6642.2298749999973</v>
      </c>
      <c r="D14" s="17">
        <f t="shared" si="5"/>
        <v>9045.873261363633</v>
      </c>
      <c r="E14" s="17">
        <f t="shared" si="5"/>
        <v>8773.7532329545429</v>
      </c>
      <c r="F14" s="17">
        <f t="shared" si="5"/>
        <v>8937.0252499999951</v>
      </c>
      <c r="G14" s="17">
        <f t="shared" si="5"/>
        <v>6002.7768352272733</v>
      </c>
      <c r="H14" s="130">
        <f t="shared" si="5"/>
        <v>41609.22420454544</v>
      </c>
    </row>
    <row r="15" spans="1:9" x14ac:dyDescent="0.3">
      <c r="A15" s="131"/>
      <c r="B15" s="18"/>
      <c r="C15" s="18"/>
      <c r="D15" s="18"/>
      <c r="E15" s="18"/>
      <c r="F15" s="18"/>
      <c r="G15" s="18"/>
      <c r="H15" s="132"/>
    </row>
    <row r="16" spans="1:9" x14ac:dyDescent="0.3">
      <c r="A16" s="129" t="s">
        <v>48</v>
      </c>
      <c r="B16" s="17">
        <f>B34*(B35-4)</f>
        <v>6000</v>
      </c>
      <c r="C16" s="22"/>
      <c r="D16" s="17">
        <f>B34*(B35-4)</f>
        <v>6000</v>
      </c>
      <c r="E16" s="22"/>
      <c r="F16" s="22"/>
      <c r="G16" s="22"/>
      <c r="H16" s="138">
        <f t="shared" si="0"/>
        <v>12000</v>
      </c>
    </row>
    <row r="17" spans="1:8" x14ac:dyDescent="0.3">
      <c r="A17" s="140" t="s">
        <v>65</v>
      </c>
      <c r="B17" s="35">
        <f t="shared" ref="B17:G17" si="6">B14-B16</f>
        <v>-3792.4342500000012</v>
      </c>
      <c r="C17" s="35">
        <f t="shared" si="6"/>
        <v>6642.2298749999973</v>
      </c>
      <c r="D17" s="35">
        <f t="shared" si="6"/>
        <v>3045.873261363633</v>
      </c>
      <c r="E17" s="35">
        <f t="shared" si="6"/>
        <v>8773.7532329545429</v>
      </c>
      <c r="F17" s="35">
        <f t="shared" si="6"/>
        <v>8937.0252499999951</v>
      </c>
      <c r="G17" s="35">
        <f t="shared" si="6"/>
        <v>6002.7768352272733</v>
      </c>
      <c r="H17" s="141">
        <f>SUM(B17:G17)</f>
        <v>29609.22420454544</v>
      </c>
    </row>
    <row r="18" spans="1:8" x14ac:dyDescent="0.3">
      <c r="A18" s="131"/>
      <c r="B18" s="18"/>
      <c r="C18" s="18"/>
      <c r="D18" s="18"/>
      <c r="E18" s="18"/>
      <c r="F18" s="18"/>
      <c r="G18" s="18"/>
      <c r="H18" s="132"/>
    </row>
    <row r="19" spans="1:8" x14ac:dyDescent="0.3">
      <c r="A19" s="129" t="s">
        <v>49</v>
      </c>
      <c r="B19" s="17">
        <f>$B$16/5/12*4</f>
        <v>400</v>
      </c>
      <c r="C19" s="17">
        <f>$B$16/5</f>
        <v>1200</v>
      </c>
      <c r="D19" s="17">
        <f>($B$16/5)+($D$16/44*12)</f>
        <v>2836.3636363636365</v>
      </c>
      <c r="E19" s="17">
        <f t="shared" ref="E19:F19" si="7">($B$16/5)+($D$16/44*12)</f>
        <v>2836.3636363636365</v>
      </c>
      <c r="F19" s="17">
        <f t="shared" si="7"/>
        <v>2836.3636363636365</v>
      </c>
      <c r="G19" s="17">
        <f>($B$16/5/12*8)+($D$16/44*8)</f>
        <v>1890.909090909091</v>
      </c>
      <c r="H19" s="130">
        <f>SUM(B19:G19)</f>
        <v>12000</v>
      </c>
    </row>
    <row r="20" spans="1:8" x14ac:dyDescent="0.3">
      <c r="A20" s="129" t="s">
        <v>50</v>
      </c>
      <c r="B20" s="23">
        <f t="shared" ref="B20:G20" si="8">B14-B19</f>
        <v>1807.5657499999988</v>
      </c>
      <c r="C20" s="23">
        <f t="shared" si="8"/>
        <v>5442.2298749999973</v>
      </c>
      <c r="D20" s="23">
        <f t="shared" si="8"/>
        <v>6209.509624999997</v>
      </c>
      <c r="E20" s="23">
        <f t="shared" si="8"/>
        <v>5937.3895965909069</v>
      </c>
      <c r="F20" s="23">
        <f t="shared" si="8"/>
        <v>6100.6616136363591</v>
      </c>
      <c r="G20" s="23">
        <f t="shared" si="8"/>
        <v>4111.8677443181823</v>
      </c>
      <c r="H20" s="142">
        <f>SUM(B20:G20)</f>
        <v>29609.22420454544</v>
      </c>
    </row>
    <row r="21" spans="1:8" x14ac:dyDescent="0.3">
      <c r="A21" s="131"/>
      <c r="B21" s="28"/>
      <c r="C21" s="28"/>
      <c r="D21" s="28"/>
      <c r="E21" s="28"/>
      <c r="F21" s="28"/>
      <c r="G21" s="28"/>
      <c r="H21" s="143"/>
    </row>
    <row r="22" spans="1:8" x14ac:dyDescent="0.3">
      <c r="A22" s="144" t="s">
        <v>46</v>
      </c>
      <c r="B22" s="31"/>
      <c r="C22" s="31">
        <f>C20*24%</f>
        <v>1306.1351699999993</v>
      </c>
      <c r="D22" s="31">
        <f t="shared" ref="D22:G22" si="9">D20*24%</f>
        <v>1490.2823099999991</v>
      </c>
      <c r="E22" s="31">
        <f t="shared" si="9"/>
        <v>1424.9735031818177</v>
      </c>
      <c r="F22" s="31">
        <f t="shared" si="9"/>
        <v>1464.1587872727262</v>
      </c>
      <c r="G22" s="31">
        <f t="shared" si="9"/>
        <v>986.84825863636377</v>
      </c>
      <c r="H22" s="145">
        <f>SUM(B22:G22)</f>
        <v>6672.3980290909058</v>
      </c>
    </row>
    <row r="23" spans="1:8" x14ac:dyDescent="0.3">
      <c r="A23" s="144" t="s">
        <v>47</v>
      </c>
      <c r="B23" s="31">
        <f>B20*3.9%</f>
        <v>70.495064249999956</v>
      </c>
      <c r="C23" s="31">
        <f t="shared" ref="C23:G23" si="10">C20*3.9%</f>
        <v>212.24696512499989</v>
      </c>
      <c r="D23" s="31">
        <f t="shared" si="10"/>
        <v>242.17087537499989</v>
      </c>
      <c r="E23" s="31">
        <f t="shared" si="10"/>
        <v>231.55819426704537</v>
      </c>
      <c r="F23" s="31">
        <f t="shared" si="10"/>
        <v>237.925802931818</v>
      </c>
      <c r="G23" s="31">
        <f t="shared" si="10"/>
        <v>160.36284202840912</v>
      </c>
      <c r="H23" s="145">
        <f>SUM(B23:G23)</f>
        <v>1154.7597439772721</v>
      </c>
    </row>
    <row r="24" spans="1:8" x14ac:dyDescent="0.3">
      <c r="A24" s="129" t="s">
        <v>51</v>
      </c>
      <c r="B24" s="23">
        <f>B22+B23</f>
        <v>70.495064249999956</v>
      </c>
      <c r="C24" s="23">
        <f t="shared" ref="C24:G24" si="11">C22+C23</f>
        <v>1518.3821351249992</v>
      </c>
      <c r="D24" s="23">
        <f t="shared" si="11"/>
        <v>1732.4531853749991</v>
      </c>
      <c r="E24" s="23">
        <f t="shared" si="11"/>
        <v>1656.531697448863</v>
      </c>
      <c r="F24" s="23">
        <f t="shared" si="11"/>
        <v>1702.0845902045442</v>
      </c>
      <c r="G24" s="23">
        <f t="shared" si="11"/>
        <v>1147.2111006647729</v>
      </c>
      <c r="H24" s="146">
        <f>SUM(B24:G24)</f>
        <v>7827.1577730681784</v>
      </c>
    </row>
    <row r="25" spans="1:8" x14ac:dyDescent="0.3">
      <c r="A25" s="147"/>
      <c r="B25" s="33"/>
      <c r="C25" s="33"/>
      <c r="D25" s="33"/>
      <c r="E25" s="33"/>
      <c r="F25" s="33"/>
      <c r="G25" s="33"/>
      <c r="H25" s="148"/>
    </row>
    <row r="26" spans="1:8" x14ac:dyDescent="0.3">
      <c r="A26" s="149" t="s">
        <v>64</v>
      </c>
      <c r="B26" s="38">
        <f>B20-B24</f>
        <v>1737.0706857499988</v>
      </c>
      <c r="C26" s="38">
        <f t="shared" ref="C26:H26" si="12">C20-C24</f>
        <v>3923.8477398749983</v>
      </c>
      <c r="D26" s="38">
        <f t="shared" si="12"/>
        <v>4477.0564396249974</v>
      </c>
      <c r="E26" s="38">
        <f t="shared" si="12"/>
        <v>4280.8578991420436</v>
      </c>
      <c r="F26" s="38">
        <f t="shared" si="12"/>
        <v>4398.5770234318152</v>
      </c>
      <c r="G26" s="38">
        <f t="shared" si="12"/>
        <v>2964.6566436534094</v>
      </c>
      <c r="H26" s="150">
        <f t="shared" si="12"/>
        <v>21782.066431477262</v>
      </c>
    </row>
    <row r="27" spans="1:8" ht="14.4" thickBot="1" x14ac:dyDescent="0.35">
      <c r="A27" s="151" t="s">
        <v>100</v>
      </c>
      <c r="B27" s="152">
        <f>B17-B24</f>
        <v>-3862.929314250001</v>
      </c>
      <c r="C27" s="152">
        <f t="shared" ref="C27:G27" si="13">C17-C24</f>
        <v>5123.8477398749983</v>
      </c>
      <c r="D27" s="152">
        <f t="shared" si="13"/>
        <v>1313.4200759886339</v>
      </c>
      <c r="E27" s="152">
        <f t="shared" si="13"/>
        <v>7117.2215355056796</v>
      </c>
      <c r="F27" s="152">
        <f t="shared" si="13"/>
        <v>7234.9406597954512</v>
      </c>
      <c r="G27" s="152">
        <f t="shared" si="13"/>
        <v>4855.5657345625004</v>
      </c>
      <c r="H27" s="153"/>
    </row>
    <row r="28" spans="1:8" x14ac:dyDescent="0.3">
      <c r="A28" s="12"/>
      <c r="B28" s="25"/>
      <c r="C28" s="25"/>
      <c r="D28" s="25"/>
      <c r="E28" s="25"/>
      <c r="F28" s="25"/>
      <c r="G28" s="25"/>
      <c r="H28" s="16"/>
    </row>
    <row r="29" spans="1:8" x14ac:dyDescent="0.3">
      <c r="A29" s="40" t="s">
        <v>43</v>
      </c>
      <c r="B29" s="41">
        <v>0.15</v>
      </c>
      <c r="C29" s="13" t="s">
        <v>53</v>
      </c>
    </row>
    <row r="30" spans="1:8" x14ac:dyDescent="0.3">
      <c r="A30" s="40" t="s">
        <v>54</v>
      </c>
      <c r="B30" s="44">
        <v>0.2</v>
      </c>
      <c r="C30" s="13" t="s">
        <v>55</v>
      </c>
    </row>
    <row r="31" spans="1:8" x14ac:dyDescent="0.3">
      <c r="A31" s="40" t="s">
        <v>56</v>
      </c>
      <c r="B31" s="44">
        <v>17.36</v>
      </c>
      <c r="C31" s="13" t="s">
        <v>57</v>
      </c>
    </row>
    <row r="32" spans="1:8" x14ac:dyDescent="0.3">
      <c r="A32" s="40" t="s">
        <v>58</v>
      </c>
      <c r="B32" s="45">
        <v>5.0000000000000001E-3</v>
      </c>
      <c r="C32" s="13" t="s">
        <v>59</v>
      </c>
    </row>
    <row r="33" spans="1:4" x14ac:dyDescent="0.3">
      <c r="A33" s="40" t="s">
        <v>60</v>
      </c>
      <c r="B33" s="46">
        <v>120</v>
      </c>
      <c r="C33" s="13" t="s">
        <v>62</v>
      </c>
      <c r="D33" s="27"/>
    </row>
    <row r="34" spans="1:4" ht="17.399999999999999" customHeight="1" x14ac:dyDescent="0.3">
      <c r="A34" s="40" t="s">
        <v>63</v>
      </c>
      <c r="B34" s="46">
        <v>1500</v>
      </c>
      <c r="C34" s="13" t="s">
        <v>62</v>
      </c>
      <c r="D34" s="27"/>
    </row>
    <row r="35" spans="1:4" x14ac:dyDescent="0.3">
      <c r="A35" s="43" t="s">
        <v>38</v>
      </c>
      <c r="B35" s="42">
        <f>'calcolo fatturato'!C23</f>
        <v>8</v>
      </c>
    </row>
  </sheetData>
  <sheetProtection algorithmName="SHA-512" hashValue="F0SDORadBCWp3LlQZA9USMPFw9WfWqLfnv9EejacK0+MAzdWmA1O9tHaNMCk7FgNxN3IuohMvFvyaNn4JveJuw==" saltValue="GkltdB0LbxIq0m6VZwa1tA==" spinCount="100000" sheet="1" objects="1" scenarios="1"/>
  <protectedRanges>
    <protectedRange algorithmName="SHA-512" hashValue="fITLFOuAwo2jsFAhVQjeE0Q5b3xlWFfCA1sBhRleIyUfJkXbLkenIYKd52FThZCmVJefcN8RnMG1YkOnedWaiw==" saltValue="QAzvECcpTnf56bJnlH+9hQ==" spinCount="100000" sqref="B33 B35" name="Intervallo1"/>
  </protectedRanges>
  <mergeCells count="1">
    <mergeCell ref="A1:H1"/>
  </mergeCells>
  <pageMargins left="0.11811023622047245" right="0.1968503937007874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B697C-4E77-4662-88E0-A8146E141664}">
  <sheetPr codeName="Foglio2">
    <pageSetUpPr fitToPage="1"/>
  </sheetPr>
  <dimension ref="A1:I38"/>
  <sheetViews>
    <sheetView topLeftCell="A10" zoomScale="115" zoomScaleNormal="115" workbookViewId="0">
      <selection activeCell="B37" sqref="B37"/>
    </sheetView>
  </sheetViews>
  <sheetFormatPr defaultColWidth="8.88671875" defaultRowHeight="13.8" x14ac:dyDescent="0.3"/>
  <cols>
    <col min="1" max="1" width="50.21875" style="13" customWidth="1"/>
    <col min="2" max="7" width="11.5546875" style="13" customWidth="1"/>
    <col min="8" max="8" width="14.33203125" style="13" customWidth="1"/>
    <col min="9" max="9" width="9.33203125" style="13" bestFit="1" customWidth="1"/>
    <col min="10" max="16384" width="8.88671875" style="13"/>
  </cols>
  <sheetData>
    <row r="1" spans="1:9" ht="33.6" x14ac:dyDescent="0.65">
      <c r="A1" s="195" t="str">
        <f>utilizzatori!B5</f>
        <v>LOTTO 4 - Comune di Bellizago Lombardo</v>
      </c>
      <c r="B1" s="195"/>
      <c r="C1" s="195"/>
      <c r="D1" s="195"/>
      <c r="E1" s="195"/>
      <c r="F1" s="195"/>
      <c r="G1" s="195"/>
      <c r="H1" s="195"/>
    </row>
    <row r="2" spans="1:9" ht="33.6" x14ac:dyDescent="0.65">
      <c r="A2" s="195" t="s">
        <v>52</v>
      </c>
      <c r="B2" s="195"/>
      <c r="C2" s="195"/>
      <c r="D2" s="195"/>
      <c r="E2" s="195"/>
      <c r="F2" s="195"/>
      <c r="G2" s="195"/>
      <c r="H2" s="195"/>
    </row>
    <row r="3" spans="1:9" ht="27.6" x14ac:dyDescent="0.3">
      <c r="A3" s="39" t="s">
        <v>39</v>
      </c>
      <c r="B3" s="39" t="s">
        <v>34</v>
      </c>
      <c r="C3" s="39">
        <v>2026</v>
      </c>
      <c r="D3" s="39">
        <v>2027</v>
      </c>
      <c r="E3" s="39">
        <v>2028</v>
      </c>
      <c r="F3" s="39">
        <v>2029</v>
      </c>
      <c r="G3" s="39" t="s">
        <v>35</v>
      </c>
      <c r="H3" s="39" t="s">
        <v>2</v>
      </c>
    </row>
    <row r="4" spans="1:9" x14ac:dyDescent="0.3">
      <c r="A4" s="8" t="s">
        <v>40</v>
      </c>
      <c r="B4" s="14">
        <f>'calcolo fatturato'!C4*'calcolo fatturato'!C5*'calcolo fatturato'!C6*'calcolo fatturato'!C8</f>
        <v>1419.7909090909088</v>
      </c>
      <c r="C4" s="14">
        <f>'calcolo fatturato'!D4*'calcolo fatturato'!D5*'calcolo fatturato'!D6*'calcolo fatturato'!D8</f>
        <v>4240.1863636363632</v>
      </c>
      <c r="D4" s="14">
        <f>'calcolo fatturato'!E4*'calcolo fatturato'!E5*'calcolo fatturato'!E6*'calcolo fatturato'!E8</f>
        <v>4259.3727272727274</v>
      </c>
      <c r="E4" s="14">
        <f>'calcolo fatturato'!F4*'calcolo fatturato'!F5*'calcolo fatturato'!F6*'calcolo fatturato'!F8</f>
        <v>4163.4409090909085</v>
      </c>
      <c r="F4" s="14">
        <f>'calcolo fatturato'!G4*'calcolo fatturato'!G5*'calcolo fatturato'!G6*'calcolo fatturato'!G8</f>
        <v>4220.9999999999991</v>
      </c>
      <c r="G4" s="14">
        <f>'calcolo fatturato'!H4*'calcolo fatturato'!H5*'calcolo fatturato'!H6*'calcolo fatturato'!H8</f>
        <v>2820.3954545454549</v>
      </c>
      <c r="H4" s="15">
        <f t="shared" ref="H4:H17" si="0">SUM(B4:G4)</f>
        <v>21124.18636363636</v>
      </c>
      <c r="I4" s="16"/>
    </row>
    <row r="5" spans="1:9" x14ac:dyDescent="0.3">
      <c r="A5" s="10" t="s">
        <v>41</v>
      </c>
      <c r="B5" s="17">
        <f>B4</f>
        <v>1419.7909090909088</v>
      </c>
      <c r="C5" s="17">
        <f t="shared" ref="C5:H5" si="1">C4</f>
        <v>4240.1863636363632</v>
      </c>
      <c r="D5" s="17">
        <f t="shared" si="1"/>
        <v>4259.3727272727274</v>
      </c>
      <c r="E5" s="17">
        <f t="shared" si="1"/>
        <v>4163.4409090909085</v>
      </c>
      <c r="F5" s="17">
        <f t="shared" si="1"/>
        <v>4220.9999999999991</v>
      </c>
      <c r="G5" s="17">
        <f t="shared" si="1"/>
        <v>2820.3954545454549</v>
      </c>
      <c r="H5" s="17">
        <f t="shared" si="1"/>
        <v>21124.18636363636</v>
      </c>
      <c r="I5" s="16"/>
    </row>
    <row r="6" spans="1:9" x14ac:dyDescent="0.3">
      <c r="A6" s="11"/>
      <c r="B6" s="18"/>
      <c r="C6" s="18"/>
      <c r="D6" s="18"/>
      <c r="E6" s="18"/>
      <c r="F6" s="18"/>
      <c r="G6" s="18"/>
      <c r="H6" s="18"/>
      <c r="I6" s="16"/>
    </row>
    <row r="7" spans="1:9" x14ac:dyDescent="0.3">
      <c r="A7" s="8" t="s">
        <v>43</v>
      </c>
      <c r="B7" s="68">
        <f t="shared" ref="B7:G7" si="2">$B$32*(B8+B9+B10)</f>
        <v>83.750624999999999</v>
      </c>
      <c r="C7" s="68">
        <f t="shared" si="2"/>
        <v>247.83281250000002</v>
      </c>
      <c r="D7" s="68">
        <f t="shared" si="2"/>
        <v>248.647875</v>
      </c>
      <c r="E7" s="68">
        <f t="shared" si="2"/>
        <v>244.5725625</v>
      </c>
      <c r="F7" s="68">
        <f t="shared" si="2"/>
        <v>247.01775000000001</v>
      </c>
      <c r="G7" s="68">
        <f t="shared" si="2"/>
        <v>164.08218749999997</v>
      </c>
      <c r="H7" s="69">
        <f t="shared" si="0"/>
        <v>1235.9038125</v>
      </c>
    </row>
    <row r="8" spans="1:9" x14ac:dyDescent="0.3">
      <c r="A8" s="8" t="s">
        <v>68</v>
      </c>
      <c r="B8" s="14">
        <f>$B$33*'calcolo fatturato'!C14</f>
        <v>388.5</v>
      </c>
      <c r="C8" s="14">
        <f>$B$33*'calcolo fatturato'!D14</f>
        <v>1160.25</v>
      </c>
      <c r="D8" s="14">
        <f>$B$33*'calcolo fatturato'!E14</f>
        <v>1165.5</v>
      </c>
      <c r="E8" s="14">
        <f>$B$33*'calcolo fatturato'!F14</f>
        <v>1139.25</v>
      </c>
      <c r="F8" s="14">
        <f>$B$33*'calcolo fatturato'!G14</f>
        <v>1155</v>
      </c>
      <c r="G8" s="14">
        <f>$B$33*'calcolo fatturato'!H14</f>
        <v>771.75</v>
      </c>
      <c r="H8" s="15">
        <f t="shared" si="0"/>
        <v>5780.25</v>
      </c>
    </row>
    <row r="9" spans="1:9" x14ac:dyDescent="0.3">
      <c r="A9" s="8" t="s">
        <v>42</v>
      </c>
      <c r="B9" s="14">
        <f>$B$34/4*18*$B$38</f>
        <v>156.24</v>
      </c>
      <c r="C9" s="14">
        <f>$B$34/4*52*$B$38</f>
        <v>451.36</v>
      </c>
      <c r="D9" s="14">
        <f t="shared" ref="D9:F9" si="3">$B$34/4*52*$B$38</f>
        <v>451.36</v>
      </c>
      <c r="E9" s="14">
        <f t="shared" si="3"/>
        <v>451.36</v>
      </c>
      <c r="F9" s="14">
        <f t="shared" si="3"/>
        <v>451.36</v>
      </c>
      <c r="G9" s="14">
        <f>$B$34/4*34*$B$38</f>
        <v>295.12</v>
      </c>
      <c r="H9" s="15">
        <f>SUM(B9:G9)</f>
        <v>2256.8000000000002</v>
      </c>
    </row>
    <row r="10" spans="1:9" s="49" customFormat="1" ht="27.6" x14ac:dyDescent="0.3">
      <c r="A10" s="8" t="s">
        <v>67</v>
      </c>
      <c r="B10" s="47">
        <f>3.5%*B8</f>
        <v>13.597500000000002</v>
      </c>
      <c r="C10" s="47">
        <f t="shared" ref="C10:G10" si="4">3.5%*C8</f>
        <v>40.608750000000001</v>
      </c>
      <c r="D10" s="47">
        <f t="shared" si="4"/>
        <v>40.792500000000004</v>
      </c>
      <c r="E10" s="47">
        <f t="shared" si="4"/>
        <v>39.873750000000001</v>
      </c>
      <c r="F10" s="47">
        <f t="shared" si="4"/>
        <v>40.425000000000004</v>
      </c>
      <c r="G10" s="47">
        <f t="shared" si="4"/>
        <v>27.011250000000004</v>
      </c>
      <c r="H10" s="48">
        <f>SUM(B10:G10)</f>
        <v>202.30875000000003</v>
      </c>
    </row>
    <row r="11" spans="1:9" s="19" customFormat="1" x14ac:dyDescent="0.3">
      <c r="A11" s="9" t="s">
        <v>11</v>
      </c>
      <c r="B11" s="14">
        <f t="shared" ref="B11:G11" si="5">B4*$B$35</f>
        <v>7.0989545454545446</v>
      </c>
      <c r="C11" s="14">
        <f t="shared" si="5"/>
        <v>21.200931818181818</v>
      </c>
      <c r="D11" s="14">
        <f t="shared" si="5"/>
        <v>21.296863636363636</v>
      </c>
      <c r="E11" s="14">
        <f t="shared" si="5"/>
        <v>20.817204545454544</v>
      </c>
      <c r="F11" s="14">
        <f t="shared" si="5"/>
        <v>21.104999999999997</v>
      </c>
      <c r="G11" s="14">
        <f t="shared" si="5"/>
        <v>14.101977272727275</v>
      </c>
      <c r="H11" s="15">
        <f t="shared" si="0"/>
        <v>105.62093181818182</v>
      </c>
    </row>
    <row r="12" spans="1:9" x14ac:dyDescent="0.3">
      <c r="A12" s="8" t="s">
        <v>61</v>
      </c>
      <c r="B12" s="14">
        <f>$B$36*($B$38)/12*4</f>
        <v>80</v>
      </c>
      <c r="C12" s="14">
        <f>$B$36*$B$38</f>
        <v>240</v>
      </c>
      <c r="D12" s="14">
        <f>$B$36*$B$38</f>
        <v>240</v>
      </c>
      <c r="E12" s="14">
        <f>$B$36*$B$38</f>
        <v>240</v>
      </c>
      <c r="F12" s="14">
        <f>$B$36*$B$38</f>
        <v>240</v>
      </c>
      <c r="G12" s="14">
        <f>$B$36*$B$38/12*8</f>
        <v>160</v>
      </c>
      <c r="H12" s="15">
        <f t="shared" si="0"/>
        <v>1200</v>
      </c>
    </row>
    <row r="13" spans="1:9" x14ac:dyDescent="0.3">
      <c r="A13" s="10" t="s">
        <v>44</v>
      </c>
      <c r="B13" s="17">
        <f t="shared" ref="B13:G13" si="6">SUM(B7:B12)</f>
        <v>729.18707954545448</v>
      </c>
      <c r="C13" s="17">
        <f t="shared" si="6"/>
        <v>2161.2524943181816</v>
      </c>
      <c r="D13" s="17">
        <f t="shared" si="6"/>
        <v>2167.5972386363637</v>
      </c>
      <c r="E13" s="17">
        <f t="shared" si="6"/>
        <v>2135.8735170454547</v>
      </c>
      <c r="F13" s="17">
        <f t="shared" si="6"/>
        <v>2154.9077500000003</v>
      </c>
      <c r="G13" s="17">
        <f t="shared" si="6"/>
        <v>1432.0654147727273</v>
      </c>
      <c r="H13" s="20">
        <f t="shared" si="0"/>
        <v>10780.883494318181</v>
      </c>
    </row>
    <row r="14" spans="1:9" x14ac:dyDescent="0.3">
      <c r="A14" s="11"/>
      <c r="B14" s="18"/>
      <c r="C14" s="18"/>
      <c r="D14" s="18"/>
      <c r="E14" s="18"/>
      <c r="F14" s="18"/>
      <c r="G14" s="18"/>
      <c r="H14" s="21"/>
    </row>
    <row r="15" spans="1:9" x14ac:dyDescent="0.3">
      <c r="A15" s="10" t="s">
        <v>45</v>
      </c>
      <c r="B15" s="17">
        <f t="shared" ref="B15:H15" si="7">B5-B13</f>
        <v>690.60382954545435</v>
      </c>
      <c r="C15" s="17">
        <f t="shared" si="7"/>
        <v>2078.9338693181817</v>
      </c>
      <c r="D15" s="17">
        <f t="shared" si="7"/>
        <v>2091.7754886363637</v>
      </c>
      <c r="E15" s="17">
        <f t="shared" si="7"/>
        <v>2027.5673920454537</v>
      </c>
      <c r="F15" s="17">
        <f t="shared" si="7"/>
        <v>2066.0922499999988</v>
      </c>
      <c r="G15" s="17">
        <f t="shared" si="7"/>
        <v>1388.3300397727276</v>
      </c>
      <c r="H15" s="17">
        <f t="shared" si="7"/>
        <v>10343.302869318179</v>
      </c>
    </row>
    <row r="16" spans="1:9" x14ac:dyDescent="0.3">
      <c r="A16" s="11"/>
      <c r="B16" s="18"/>
      <c r="C16" s="18"/>
      <c r="D16" s="18"/>
      <c r="E16" s="18"/>
      <c r="F16" s="18"/>
      <c r="G16" s="18"/>
      <c r="H16" s="18"/>
    </row>
    <row r="17" spans="1:8" x14ac:dyDescent="0.3">
      <c r="A17" s="10" t="s">
        <v>48</v>
      </c>
      <c r="B17" s="17">
        <f>B37*B38</f>
        <v>3000</v>
      </c>
      <c r="C17" s="22"/>
      <c r="D17" s="17"/>
      <c r="E17" s="22"/>
      <c r="F17" s="22"/>
      <c r="G17" s="22"/>
      <c r="H17" s="20">
        <f t="shared" si="0"/>
        <v>3000</v>
      </c>
    </row>
    <row r="18" spans="1:8" x14ac:dyDescent="0.3">
      <c r="A18" s="34" t="s">
        <v>65</v>
      </c>
      <c r="B18" s="35">
        <f t="shared" ref="B18:G18" si="8">B15-B17</f>
        <v>-2309.3961704545454</v>
      </c>
      <c r="C18" s="35">
        <f t="shared" si="8"/>
        <v>2078.9338693181817</v>
      </c>
      <c r="D18" s="35">
        <f t="shared" si="8"/>
        <v>2091.7754886363637</v>
      </c>
      <c r="E18" s="35">
        <f t="shared" si="8"/>
        <v>2027.5673920454537</v>
      </c>
      <c r="F18" s="35">
        <f t="shared" si="8"/>
        <v>2066.0922499999988</v>
      </c>
      <c r="G18" s="35">
        <f t="shared" si="8"/>
        <v>1388.3300397727276</v>
      </c>
      <c r="H18" s="35">
        <f>SUM(B18:G18)</f>
        <v>7343.3028693181805</v>
      </c>
    </row>
    <row r="19" spans="1:8" x14ac:dyDescent="0.3">
      <c r="A19" s="11"/>
      <c r="B19" s="18"/>
      <c r="C19" s="18"/>
      <c r="D19" s="18"/>
      <c r="E19" s="18"/>
      <c r="F19" s="18"/>
      <c r="G19" s="18"/>
      <c r="H19" s="18"/>
    </row>
    <row r="20" spans="1:8" x14ac:dyDescent="0.3">
      <c r="A20" s="10" t="s">
        <v>49</v>
      </c>
      <c r="B20" s="17">
        <f>$B$17/5/12*4</f>
        <v>200</v>
      </c>
      <c r="C20" s="17">
        <f>$B$17/5</f>
        <v>600</v>
      </c>
      <c r="D20" s="17">
        <f>($B$17/5)+($D$17/44*12)</f>
        <v>600</v>
      </c>
      <c r="E20" s="17">
        <f t="shared" ref="E20:F20" si="9">($B$17/5)+($D$17/44*12)</f>
        <v>600</v>
      </c>
      <c r="F20" s="17">
        <f t="shared" si="9"/>
        <v>600</v>
      </c>
      <c r="G20" s="17">
        <f>($B$17/5/12*8)+($D$17/44*8)</f>
        <v>400</v>
      </c>
      <c r="H20" s="17">
        <f>SUM(B20:G20)</f>
        <v>3000</v>
      </c>
    </row>
    <row r="21" spans="1:8" x14ac:dyDescent="0.3">
      <c r="A21" s="10" t="s">
        <v>50</v>
      </c>
      <c r="B21" s="23">
        <f t="shared" ref="B21:G21" si="10">B15-B20</f>
        <v>490.60382954545435</v>
      </c>
      <c r="C21" s="23">
        <f t="shared" si="10"/>
        <v>1478.9338693181817</v>
      </c>
      <c r="D21" s="23">
        <f t="shared" si="10"/>
        <v>1491.7754886363637</v>
      </c>
      <c r="E21" s="23">
        <f t="shared" si="10"/>
        <v>1427.5673920454537</v>
      </c>
      <c r="F21" s="23">
        <f t="shared" si="10"/>
        <v>1466.0922499999988</v>
      </c>
      <c r="G21" s="23">
        <f t="shared" si="10"/>
        <v>988.33003977272756</v>
      </c>
      <c r="H21" s="24">
        <f>SUM(B21:G21)</f>
        <v>7343.3028693181805</v>
      </c>
    </row>
    <row r="22" spans="1:8" x14ac:dyDescent="0.3">
      <c r="A22" s="11"/>
      <c r="B22" s="28"/>
      <c r="C22" s="28"/>
      <c r="D22" s="28"/>
      <c r="E22" s="28"/>
      <c r="F22" s="28"/>
      <c r="G22" s="28"/>
      <c r="H22" s="29"/>
    </row>
    <row r="23" spans="1:8" x14ac:dyDescent="0.3">
      <c r="A23" s="30" t="s">
        <v>46</v>
      </c>
      <c r="B23" s="31"/>
      <c r="C23" s="31">
        <f>C21*24%</f>
        <v>354.94412863636359</v>
      </c>
      <c r="D23" s="31">
        <f t="shared" ref="D23:G23" si="11">D21*24%</f>
        <v>358.02611727272728</v>
      </c>
      <c r="E23" s="31">
        <f t="shared" si="11"/>
        <v>342.61617409090888</v>
      </c>
      <c r="F23" s="31">
        <f t="shared" si="11"/>
        <v>351.86213999999967</v>
      </c>
      <c r="G23" s="31">
        <f t="shared" si="11"/>
        <v>237.19920954545461</v>
      </c>
      <c r="H23" s="31">
        <f>SUM(B23:G23)</f>
        <v>1644.6477695454539</v>
      </c>
    </row>
    <row r="24" spans="1:8" x14ac:dyDescent="0.3">
      <c r="A24" s="30" t="s">
        <v>47</v>
      </c>
      <c r="B24" s="31">
        <f>B21*3.9%</f>
        <v>19.13354935227272</v>
      </c>
      <c r="C24" s="31">
        <f t="shared" ref="C24:G24" si="12">C21*3.9%</f>
        <v>57.678420903409084</v>
      </c>
      <c r="D24" s="31">
        <f t="shared" si="12"/>
        <v>58.179244056818185</v>
      </c>
      <c r="E24" s="31">
        <f t="shared" si="12"/>
        <v>55.675128289772694</v>
      </c>
      <c r="F24" s="31">
        <f t="shared" si="12"/>
        <v>57.177597749999954</v>
      </c>
      <c r="G24" s="31">
        <f t="shared" si="12"/>
        <v>38.544871551136374</v>
      </c>
      <c r="H24" s="31">
        <f>SUM(B24:G24)</f>
        <v>286.38881190340902</v>
      </c>
    </row>
    <row r="25" spans="1:8" x14ac:dyDescent="0.3">
      <c r="A25" s="10" t="s">
        <v>51</v>
      </c>
      <c r="B25" s="23">
        <f>B23+B24</f>
        <v>19.13354935227272</v>
      </c>
      <c r="C25" s="23">
        <f t="shared" ref="C25:G25" si="13">C23+C24</f>
        <v>412.62254953977265</v>
      </c>
      <c r="D25" s="23">
        <f t="shared" si="13"/>
        <v>416.20536132954544</v>
      </c>
      <c r="E25" s="23">
        <f t="shared" si="13"/>
        <v>398.2913023806816</v>
      </c>
      <c r="F25" s="23">
        <f t="shared" si="13"/>
        <v>409.03973774999963</v>
      </c>
      <c r="G25" s="23">
        <f t="shared" si="13"/>
        <v>275.744081096591</v>
      </c>
      <c r="H25" s="23">
        <f>SUM(B25:G25)</f>
        <v>1931.0365814488632</v>
      </c>
    </row>
    <row r="26" spans="1:8" x14ac:dyDescent="0.3">
      <c r="A26" s="32"/>
      <c r="B26" s="33"/>
      <c r="C26" s="33"/>
      <c r="D26" s="33"/>
      <c r="E26" s="33"/>
      <c r="F26" s="33"/>
      <c r="G26" s="33"/>
      <c r="H26" s="33"/>
    </row>
    <row r="27" spans="1:8" x14ac:dyDescent="0.3">
      <c r="A27" s="37" t="s">
        <v>64</v>
      </c>
      <c r="B27" s="38">
        <f>B21-B25</f>
        <v>471.47028019318162</v>
      </c>
      <c r="C27" s="38">
        <f t="shared" ref="C27:H27" si="14">C21-C25</f>
        <v>1066.3113197784091</v>
      </c>
      <c r="D27" s="38">
        <f t="shared" si="14"/>
        <v>1075.5701273068182</v>
      </c>
      <c r="E27" s="38">
        <f t="shared" si="14"/>
        <v>1029.2760896647721</v>
      </c>
      <c r="F27" s="38">
        <f t="shared" si="14"/>
        <v>1057.0525122499992</v>
      </c>
      <c r="G27" s="38">
        <f t="shared" si="14"/>
        <v>712.58595867613656</v>
      </c>
      <c r="H27" s="38">
        <f t="shared" si="14"/>
        <v>5412.2662878693172</v>
      </c>
    </row>
    <row r="28" spans="1:8" x14ac:dyDescent="0.3">
      <c r="A28" s="34" t="s">
        <v>100</v>
      </c>
      <c r="B28" s="36">
        <f>B18-B25</f>
        <v>-2328.5297198068183</v>
      </c>
      <c r="C28" s="36">
        <f t="shared" ref="C28:G28" si="15">C18-C25</f>
        <v>1666.3113197784091</v>
      </c>
      <c r="D28" s="36">
        <f t="shared" si="15"/>
        <v>1675.5701273068182</v>
      </c>
      <c r="E28" s="36">
        <f t="shared" si="15"/>
        <v>1629.2760896647721</v>
      </c>
      <c r="F28" s="36">
        <f t="shared" si="15"/>
        <v>1657.0525122499992</v>
      </c>
      <c r="G28" s="36">
        <f t="shared" si="15"/>
        <v>1112.5859586761367</v>
      </c>
      <c r="H28" s="36"/>
    </row>
    <row r="29" spans="1:8" x14ac:dyDescent="0.3">
      <c r="A29" s="12"/>
      <c r="B29" s="25"/>
      <c r="C29" s="25"/>
      <c r="D29" s="25"/>
      <c r="E29" s="25"/>
      <c r="F29" s="25"/>
      <c r="G29" s="25"/>
      <c r="H29" s="16"/>
    </row>
    <row r="30" spans="1:8" x14ac:dyDescent="0.3">
      <c r="A30" s="12"/>
      <c r="B30" s="25"/>
      <c r="C30" s="25"/>
      <c r="D30" s="25"/>
      <c r="E30" s="25"/>
      <c r="F30" s="25"/>
      <c r="G30" s="25"/>
      <c r="H30" s="16"/>
    </row>
    <row r="31" spans="1:8" x14ac:dyDescent="0.3">
      <c r="A31" s="26"/>
    </row>
    <row r="32" spans="1:8" x14ac:dyDescent="0.3">
      <c r="A32" s="40" t="s">
        <v>43</v>
      </c>
      <c r="B32" s="41">
        <v>0.15</v>
      </c>
      <c r="C32" s="13" t="s">
        <v>53</v>
      </c>
    </row>
    <row r="33" spans="1:4" x14ac:dyDescent="0.3">
      <c r="A33" s="40" t="s">
        <v>54</v>
      </c>
      <c r="B33" s="44">
        <v>0.2</v>
      </c>
      <c r="C33" s="13" t="s">
        <v>55</v>
      </c>
    </row>
    <row r="34" spans="1:4" x14ac:dyDescent="0.3">
      <c r="A34" s="40" t="s">
        <v>56</v>
      </c>
      <c r="B34" s="44">
        <v>17.36</v>
      </c>
      <c r="C34" s="13" t="s">
        <v>57</v>
      </c>
    </row>
    <row r="35" spans="1:4" x14ac:dyDescent="0.3">
      <c r="A35" s="40" t="s">
        <v>58</v>
      </c>
      <c r="B35" s="45">
        <v>5.0000000000000001E-3</v>
      </c>
      <c r="C35" s="13" t="s">
        <v>59</v>
      </c>
    </row>
    <row r="36" spans="1:4" x14ac:dyDescent="0.3">
      <c r="A36" s="40" t="s">
        <v>60</v>
      </c>
      <c r="B36" s="46">
        <v>120</v>
      </c>
      <c r="C36" s="13" t="s">
        <v>62</v>
      </c>
      <c r="D36" s="27"/>
    </row>
    <row r="37" spans="1:4" ht="17.399999999999999" customHeight="1" x14ac:dyDescent="0.3">
      <c r="A37" s="40" t="s">
        <v>63</v>
      </c>
      <c r="B37" s="46">
        <v>1500</v>
      </c>
      <c r="C37" s="13" t="s">
        <v>62</v>
      </c>
      <c r="D37" s="27"/>
    </row>
    <row r="38" spans="1:4" x14ac:dyDescent="0.3">
      <c r="A38" s="43" t="s">
        <v>38</v>
      </c>
      <c r="B38" s="42">
        <f>'calcolo fatturato'!C20</f>
        <v>2</v>
      </c>
    </row>
  </sheetData>
  <sheetProtection algorithmName="SHA-512" hashValue="kpbcpSX8mfZqy99g0YADfgY0++D6w3UlLO1b0XUAcAtpYpC02auxDd0plJGcHlNJtZEhvdCdlA6l5tUnAcJT8g==" saltValue="vcRD1/qO7Na8BfjjOVcpVA==" spinCount="100000" sheet="1" objects="1" scenarios="1"/>
  <protectedRanges>
    <protectedRange algorithmName="SHA-512" hashValue="fITLFOuAwo2jsFAhVQjeE0Q5b3xlWFfCA1sBhRleIyUfJkXbLkenIYKd52FThZCmVJefcN8RnMG1YkOnedWaiw==" saltValue="QAzvECcpTnf56bJnlH+9hQ==" spinCount="100000" sqref="B36 B38" name="Intervallo1"/>
  </protectedRanges>
  <mergeCells count="2">
    <mergeCell ref="A2:H2"/>
    <mergeCell ref="A1:H1"/>
  </mergeCells>
  <pageMargins left="0.11811023622047245" right="0.19685039370078741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989D-42FF-4416-A785-F587E5996A86}">
  <sheetPr codeName="Foglio3">
    <pageSetUpPr fitToPage="1"/>
  </sheetPr>
  <dimension ref="A1:I38"/>
  <sheetViews>
    <sheetView zoomScale="115" zoomScaleNormal="115" workbookViewId="0">
      <selection activeCell="H10" sqref="H10"/>
    </sheetView>
  </sheetViews>
  <sheetFormatPr defaultColWidth="8.88671875" defaultRowHeight="13.8" x14ac:dyDescent="0.3"/>
  <cols>
    <col min="1" max="1" width="50.21875" style="13" customWidth="1"/>
    <col min="2" max="7" width="11.5546875" style="13" customWidth="1"/>
    <col min="8" max="8" width="14.33203125" style="13" customWidth="1"/>
    <col min="9" max="9" width="9.33203125" style="13" bestFit="1" customWidth="1"/>
    <col min="10" max="16384" width="8.88671875" style="13"/>
  </cols>
  <sheetData>
    <row r="1" spans="1:9" ht="33.6" x14ac:dyDescent="0.65">
      <c r="A1" s="195" t="str">
        <f>utilizzatori!B6</f>
        <v>LOTTO 5 - Comune di Liscate</v>
      </c>
      <c r="B1" s="195"/>
      <c r="C1" s="195"/>
      <c r="D1" s="195"/>
      <c r="E1" s="195"/>
      <c r="F1" s="195"/>
      <c r="G1" s="195"/>
      <c r="H1" s="195"/>
    </row>
    <row r="2" spans="1:9" ht="33.6" x14ac:dyDescent="0.65">
      <c r="A2" s="195" t="s">
        <v>52</v>
      </c>
      <c r="B2" s="195"/>
      <c r="C2" s="195"/>
      <c r="D2" s="195"/>
      <c r="E2" s="195"/>
      <c r="F2" s="195"/>
      <c r="G2" s="195"/>
      <c r="H2" s="195"/>
    </row>
    <row r="3" spans="1:9" ht="27.6" x14ac:dyDescent="0.3">
      <c r="A3" s="39" t="s">
        <v>39</v>
      </c>
      <c r="B3" s="39" t="s">
        <v>34</v>
      </c>
      <c r="C3" s="39">
        <v>2026</v>
      </c>
      <c r="D3" s="39">
        <v>2027</v>
      </c>
      <c r="E3" s="39">
        <v>2028</v>
      </c>
      <c r="F3" s="39">
        <v>2029</v>
      </c>
      <c r="G3" s="39" t="s">
        <v>35</v>
      </c>
      <c r="H3" s="39" t="s">
        <v>2</v>
      </c>
    </row>
    <row r="4" spans="1:9" x14ac:dyDescent="0.3">
      <c r="A4" s="8" t="s">
        <v>40</v>
      </c>
      <c r="B4" s="14">
        <f>'calcolo fatturato'!C4*'calcolo fatturato'!C5*'calcolo fatturato'!C6*'calcolo fatturato'!C9</f>
        <v>1149.3545454545451</v>
      </c>
      <c r="C4" s="14">
        <f>'calcolo fatturato'!D4*'calcolo fatturato'!D5*'calcolo fatturato'!D6*'calcolo fatturato'!D9</f>
        <v>3432.5318181818175</v>
      </c>
      <c r="D4" s="14">
        <f>'calcolo fatturato'!E4*'calcolo fatturato'!E5*'calcolo fatturato'!E6*'calcolo fatturato'!E9</f>
        <v>8113.0909090909081</v>
      </c>
      <c r="E4" s="14">
        <f>'calcolo fatturato'!F4*'calcolo fatturato'!F5*'calcolo fatturato'!F6*'calcolo fatturato'!F9</f>
        <v>7930.363636363636</v>
      </c>
      <c r="F4" s="14">
        <f>'calcolo fatturato'!G4*'calcolo fatturato'!G5*'calcolo fatturato'!G6*'calcolo fatturato'!G9</f>
        <v>8039.9999999999991</v>
      </c>
      <c r="G4" s="14">
        <f>'calcolo fatturato'!H4*'calcolo fatturato'!H5*'calcolo fatturato'!H6*'calcolo fatturato'!H9</f>
        <v>5372.181818181818</v>
      </c>
      <c r="H4" s="15">
        <f t="shared" ref="H4:H17" si="0">SUM(B4:G4)</f>
        <v>34037.522727272721</v>
      </c>
      <c r="I4" s="16"/>
    </row>
    <row r="5" spans="1:9" x14ac:dyDescent="0.3">
      <c r="A5" s="10" t="s">
        <v>41</v>
      </c>
      <c r="B5" s="17">
        <f>B4</f>
        <v>1149.3545454545451</v>
      </c>
      <c r="C5" s="17">
        <f t="shared" ref="C5:H5" si="1">C4</f>
        <v>3432.5318181818175</v>
      </c>
      <c r="D5" s="17">
        <f t="shared" si="1"/>
        <v>8113.0909090909081</v>
      </c>
      <c r="E5" s="17">
        <f t="shared" si="1"/>
        <v>7930.363636363636</v>
      </c>
      <c r="F5" s="17">
        <f t="shared" si="1"/>
        <v>8039.9999999999991</v>
      </c>
      <c r="G5" s="17">
        <f t="shared" si="1"/>
        <v>5372.181818181818</v>
      </c>
      <c r="H5" s="17">
        <f t="shared" si="1"/>
        <v>34037.522727272721</v>
      </c>
      <c r="I5" s="16"/>
    </row>
    <row r="6" spans="1:9" x14ac:dyDescent="0.3">
      <c r="A6" s="11"/>
      <c r="B6" s="18"/>
      <c r="C6" s="18"/>
      <c r="D6" s="18"/>
      <c r="E6" s="18"/>
      <c r="F6" s="18"/>
      <c r="G6" s="18"/>
      <c r="H6" s="18"/>
      <c r="I6" s="16"/>
    </row>
    <row r="7" spans="1:9" x14ac:dyDescent="0.3">
      <c r="A7" s="8" t="s">
        <v>43</v>
      </c>
      <c r="B7" s="68">
        <f t="shared" ref="B7:G7" si="2">$B$32*(B8+B9+B10)</f>
        <v>72.262124999999997</v>
      </c>
      <c r="C7" s="68">
        <f t="shared" si="2"/>
        <v>213.52256250000002</v>
      </c>
      <c r="D7" s="68">
        <f t="shared" si="2"/>
        <v>480.06299999999999</v>
      </c>
      <c r="E7" s="68">
        <f t="shared" si="2"/>
        <v>472.3005</v>
      </c>
      <c r="F7" s="68">
        <f t="shared" si="2"/>
        <v>476.95800000000003</v>
      </c>
      <c r="G7" s="68">
        <f t="shared" si="2"/>
        <v>316.75349999999992</v>
      </c>
      <c r="H7" s="69">
        <f t="shared" si="0"/>
        <v>2031.8596874999998</v>
      </c>
    </row>
    <row r="8" spans="1:9" x14ac:dyDescent="0.3">
      <c r="A8" s="8" t="s">
        <v>68</v>
      </c>
      <c r="B8" s="14">
        <f>$B$33*'calcolo fatturato'!C15</f>
        <v>314.5</v>
      </c>
      <c r="C8" s="14">
        <f>$B$33*'calcolo fatturato'!D15</f>
        <v>939.25</v>
      </c>
      <c r="D8" s="14">
        <f>$B$33*'calcolo fatturato'!E15</f>
        <v>2220</v>
      </c>
      <c r="E8" s="14">
        <f>$B$33*'calcolo fatturato'!F15</f>
        <v>2170</v>
      </c>
      <c r="F8" s="14">
        <f>$B$33*'calcolo fatturato'!G15</f>
        <v>2200</v>
      </c>
      <c r="G8" s="14">
        <f>$B$33*'calcolo fatturato'!H15</f>
        <v>1470</v>
      </c>
      <c r="H8" s="15">
        <f t="shared" si="0"/>
        <v>9313.75</v>
      </c>
    </row>
    <row r="9" spans="1:9" x14ac:dyDescent="0.3">
      <c r="A9" s="8" t="s">
        <v>42</v>
      </c>
      <c r="B9" s="14">
        <f>$B$34/4*18*($B$38-2)</f>
        <v>156.24</v>
      </c>
      <c r="C9" s="14">
        <f>$B$34/4*52*($B$38-2)</f>
        <v>451.36</v>
      </c>
      <c r="D9" s="14">
        <f t="shared" ref="D9:F9" si="3">$B$34/4*52*$B$38</f>
        <v>902.72</v>
      </c>
      <c r="E9" s="14">
        <f t="shared" si="3"/>
        <v>902.72</v>
      </c>
      <c r="F9" s="14">
        <f t="shared" si="3"/>
        <v>902.72</v>
      </c>
      <c r="G9" s="14">
        <f>$B$34/4*34*$B$38</f>
        <v>590.24</v>
      </c>
      <c r="H9" s="15">
        <f>SUM(B9:G9)</f>
        <v>3906</v>
      </c>
    </row>
    <row r="10" spans="1:9" s="49" customFormat="1" ht="27.6" x14ac:dyDescent="0.3">
      <c r="A10" s="8" t="s">
        <v>67</v>
      </c>
      <c r="B10" s="47">
        <f>3.5%*B8</f>
        <v>11.0075</v>
      </c>
      <c r="C10" s="47">
        <f t="shared" ref="C10:G10" si="4">3.5%*C8</f>
        <v>32.873750000000001</v>
      </c>
      <c r="D10" s="47">
        <f t="shared" si="4"/>
        <v>77.7</v>
      </c>
      <c r="E10" s="47">
        <f t="shared" si="4"/>
        <v>75.95</v>
      </c>
      <c r="F10" s="47">
        <f t="shared" si="4"/>
        <v>77.000000000000014</v>
      </c>
      <c r="G10" s="47">
        <f t="shared" si="4"/>
        <v>51.45</v>
      </c>
      <c r="H10" s="48">
        <f>SUM(B10:G10)</f>
        <v>325.98124999999999</v>
      </c>
    </row>
    <row r="11" spans="1:9" s="19" customFormat="1" x14ac:dyDescent="0.3">
      <c r="A11" s="9" t="s">
        <v>11</v>
      </c>
      <c r="B11" s="14">
        <f t="shared" ref="B11:G11" si="5">B4*$B$35</f>
        <v>5.7467727272727256</v>
      </c>
      <c r="C11" s="14">
        <f t="shared" si="5"/>
        <v>17.162659090909088</v>
      </c>
      <c r="D11" s="14">
        <f t="shared" si="5"/>
        <v>40.565454545454543</v>
      </c>
      <c r="E11" s="14">
        <f t="shared" si="5"/>
        <v>39.651818181818179</v>
      </c>
      <c r="F11" s="14">
        <f t="shared" si="5"/>
        <v>40.199999999999996</v>
      </c>
      <c r="G11" s="14">
        <f t="shared" si="5"/>
        <v>26.86090909090909</v>
      </c>
      <c r="H11" s="15">
        <f t="shared" si="0"/>
        <v>170.18761363636361</v>
      </c>
    </row>
    <row r="12" spans="1:9" x14ac:dyDescent="0.3">
      <c r="A12" s="8" t="s">
        <v>61</v>
      </c>
      <c r="B12" s="14">
        <f>$B$36*($B$38-2)/12*4</f>
        <v>80</v>
      </c>
      <c r="C12" s="14">
        <f>$B$36*($B$38-2)</f>
        <v>240</v>
      </c>
      <c r="D12" s="14">
        <f>$B$36*$B$38</f>
        <v>480</v>
      </c>
      <c r="E12" s="14">
        <f>$B$36*$B$38</f>
        <v>480</v>
      </c>
      <c r="F12" s="14">
        <f>$B$36*$B$38</f>
        <v>480</v>
      </c>
      <c r="G12" s="14">
        <f>$B$36*$B$38/12*8</f>
        <v>320</v>
      </c>
      <c r="H12" s="15">
        <f t="shared" si="0"/>
        <v>2080</v>
      </c>
    </row>
    <row r="13" spans="1:9" x14ac:dyDescent="0.3">
      <c r="A13" s="10" t="s">
        <v>44</v>
      </c>
      <c r="B13" s="17">
        <f t="shared" ref="B13:G13" si="6">SUM(B7:B12)</f>
        <v>639.75639772727277</v>
      </c>
      <c r="C13" s="17">
        <f t="shared" si="6"/>
        <v>1894.168971590909</v>
      </c>
      <c r="D13" s="17">
        <f t="shared" si="6"/>
        <v>4201.0484545454547</v>
      </c>
      <c r="E13" s="17">
        <f t="shared" si="6"/>
        <v>4140.6223181818177</v>
      </c>
      <c r="F13" s="17">
        <f t="shared" si="6"/>
        <v>4176.8779999999997</v>
      </c>
      <c r="G13" s="17">
        <f t="shared" si="6"/>
        <v>2775.3044090909084</v>
      </c>
      <c r="H13" s="20">
        <f t="shared" si="0"/>
        <v>17827.778551136365</v>
      </c>
    </row>
    <row r="14" spans="1:9" x14ac:dyDescent="0.3">
      <c r="A14" s="11"/>
      <c r="B14" s="18"/>
      <c r="C14" s="18"/>
      <c r="D14" s="18"/>
      <c r="E14" s="18"/>
      <c r="F14" s="18"/>
      <c r="G14" s="18"/>
      <c r="H14" s="21"/>
    </row>
    <row r="15" spans="1:9" x14ac:dyDescent="0.3">
      <c r="A15" s="10" t="s">
        <v>45</v>
      </c>
      <c r="B15" s="17">
        <f t="shared" ref="B15:H15" si="7">B5-B13</f>
        <v>509.59814772727236</v>
      </c>
      <c r="C15" s="17">
        <f t="shared" si="7"/>
        <v>1538.3628465909085</v>
      </c>
      <c r="D15" s="17">
        <f t="shared" si="7"/>
        <v>3912.0424545454534</v>
      </c>
      <c r="E15" s="17">
        <f t="shared" si="7"/>
        <v>3789.7413181818183</v>
      </c>
      <c r="F15" s="17">
        <f t="shared" si="7"/>
        <v>3863.1219999999994</v>
      </c>
      <c r="G15" s="17">
        <f t="shared" si="7"/>
        <v>2596.8774090909096</v>
      </c>
      <c r="H15" s="17">
        <f t="shared" si="7"/>
        <v>16209.744176136355</v>
      </c>
    </row>
    <row r="16" spans="1:9" x14ac:dyDescent="0.3">
      <c r="A16" s="11"/>
      <c r="B16" s="18"/>
      <c r="C16" s="18"/>
      <c r="D16" s="18"/>
      <c r="E16" s="18"/>
      <c r="F16" s="18"/>
      <c r="G16" s="18"/>
      <c r="H16" s="18"/>
    </row>
    <row r="17" spans="1:8" x14ac:dyDescent="0.3">
      <c r="A17" s="10" t="s">
        <v>48</v>
      </c>
      <c r="B17" s="17">
        <v>3000</v>
      </c>
      <c r="C17" s="22"/>
      <c r="D17" s="17">
        <v>3000</v>
      </c>
      <c r="E17" s="22"/>
      <c r="F17" s="22"/>
      <c r="G17" s="22"/>
      <c r="H17" s="20">
        <f t="shared" si="0"/>
        <v>6000</v>
      </c>
    </row>
    <row r="18" spans="1:8" x14ac:dyDescent="0.3">
      <c r="A18" s="34" t="s">
        <v>65</v>
      </c>
      <c r="B18" s="35">
        <f t="shared" ref="B18:G18" si="8">B15-B17</f>
        <v>-2490.4018522727274</v>
      </c>
      <c r="C18" s="35">
        <f t="shared" si="8"/>
        <v>1538.3628465909085</v>
      </c>
      <c r="D18" s="35">
        <f t="shared" si="8"/>
        <v>912.04245454545344</v>
      </c>
      <c r="E18" s="35">
        <f t="shared" si="8"/>
        <v>3789.7413181818183</v>
      </c>
      <c r="F18" s="35">
        <f t="shared" si="8"/>
        <v>3863.1219999999994</v>
      </c>
      <c r="G18" s="35">
        <f t="shared" si="8"/>
        <v>2596.8774090909096</v>
      </c>
      <c r="H18" s="35">
        <f>SUM(B18:G18)</f>
        <v>10209.744176136363</v>
      </c>
    </row>
    <row r="19" spans="1:8" x14ac:dyDescent="0.3">
      <c r="A19" s="11"/>
      <c r="B19" s="18"/>
      <c r="C19" s="18"/>
      <c r="D19" s="18"/>
      <c r="E19" s="18"/>
      <c r="F19" s="18"/>
      <c r="G19" s="18"/>
      <c r="H19" s="18"/>
    </row>
    <row r="20" spans="1:8" x14ac:dyDescent="0.3">
      <c r="A20" s="10" t="s">
        <v>49</v>
      </c>
      <c r="B20" s="17">
        <f>$B$17/5/12*4</f>
        <v>200</v>
      </c>
      <c r="C20" s="17">
        <f>$B$17/5</f>
        <v>600</v>
      </c>
      <c r="D20" s="17">
        <f>($B$17/5)+($D$17/44*12)</f>
        <v>1418.1818181818182</v>
      </c>
      <c r="E20" s="17">
        <f t="shared" ref="E20:F20" si="9">($B$17/5)+($D$17/44*12)</f>
        <v>1418.1818181818182</v>
      </c>
      <c r="F20" s="17">
        <f t="shared" si="9"/>
        <v>1418.1818181818182</v>
      </c>
      <c r="G20" s="17">
        <f>($B$17/5/12*8)+($D$17/44*8)</f>
        <v>945.4545454545455</v>
      </c>
      <c r="H20" s="17">
        <f>SUM(B20:G20)</f>
        <v>6000</v>
      </c>
    </row>
    <row r="21" spans="1:8" x14ac:dyDescent="0.3">
      <c r="A21" s="10" t="s">
        <v>50</v>
      </c>
      <c r="B21" s="23">
        <f t="shared" ref="B21:G21" si="10">B15-B20</f>
        <v>309.59814772727236</v>
      </c>
      <c r="C21" s="23">
        <f t="shared" si="10"/>
        <v>938.36284659090848</v>
      </c>
      <c r="D21" s="23">
        <f t="shared" si="10"/>
        <v>2493.8606363636354</v>
      </c>
      <c r="E21" s="23">
        <f t="shared" si="10"/>
        <v>2371.5595000000003</v>
      </c>
      <c r="F21" s="23">
        <f t="shared" si="10"/>
        <v>2444.9401818181814</v>
      </c>
      <c r="G21" s="23">
        <f t="shared" si="10"/>
        <v>1651.4228636363641</v>
      </c>
      <c r="H21" s="24">
        <f>SUM(B21:G21)</f>
        <v>10209.744176136363</v>
      </c>
    </row>
    <row r="22" spans="1:8" x14ac:dyDescent="0.3">
      <c r="A22" s="11"/>
      <c r="B22" s="28"/>
      <c r="C22" s="28"/>
      <c r="D22" s="28"/>
      <c r="E22" s="28"/>
      <c r="F22" s="28"/>
      <c r="G22" s="28"/>
      <c r="H22" s="29"/>
    </row>
    <row r="23" spans="1:8" x14ac:dyDescent="0.3">
      <c r="A23" s="30" t="s">
        <v>46</v>
      </c>
      <c r="B23" s="31"/>
      <c r="C23" s="31">
        <f>C21*24%</f>
        <v>225.20708318181804</v>
      </c>
      <c r="D23" s="31">
        <f t="shared" ref="D23:G23" si="11">D21*24%</f>
        <v>598.52655272727247</v>
      </c>
      <c r="E23" s="31">
        <f t="shared" si="11"/>
        <v>569.17428000000007</v>
      </c>
      <c r="F23" s="31">
        <f t="shared" si="11"/>
        <v>586.78564363636349</v>
      </c>
      <c r="G23" s="31">
        <f t="shared" si="11"/>
        <v>396.34148727272736</v>
      </c>
      <c r="H23" s="31">
        <f>SUM(B23:G23)</f>
        <v>2376.0350468181814</v>
      </c>
    </row>
    <row r="24" spans="1:8" x14ac:dyDescent="0.3">
      <c r="A24" s="30" t="s">
        <v>47</v>
      </c>
      <c r="B24" s="31">
        <f>B21*3.9%</f>
        <v>12.074327761363621</v>
      </c>
      <c r="C24" s="31">
        <f t="shared" ref="C24:G24" si="12">C21*3.9%</f>
        <v>36.596151017045429</v>
      </c>
      <c r="D24" s="31">
        <f t="shared" si="12"/>
        <v>97.260564818181777</v>
      </c>
      <c r="E24" s="31">
        <f t="shared" si="12"/>
        <v>92.490820500000012</v>
      </c>
      <c r="F24" s="31">
        <f t="shared" si="12"/>
        <v>95.35266709090908</v>
      </c>
      <c r="G24" s="31">
        <f t="shared" si="12"/>
        <v>64.405491681818205</v>
      </c>
      <c r="H24" s="31">
        <f>SUM(B24:G24)</f>
        <v>398.18002286931812</v>
      </c>
    </row>
    <row r="25" spans="1:8" x14ac:dyDescent="0.3">
      <c r="A25" s="10" t="s">
        <v>51</v>
      </c>
      <c r="B25" s="23">
        <f>B23+B24</f>
        <v>12.074327761363621</v>
      </c>
      <c r="C25" s="23">
        <f t="shared" ref="C25:G25" si="13">C23+C24</f>
        <v>261.80323419886349</v>
      </c>
      <c r="D25" s="23">
        <f t="shared" si="13"/>
        <v>695.78711754545429</v>
      </c>
      <c r="E25" s="23">
        <f t="shared" si="13"/>
        <v>661.66510050000011</v>
      </c>
      <c r="F25" s="23">
        <f t="shared" si="13"/>
        <v>682.1383107272726</v>
      </c>
      <c r="G25" s="23">
        <f t="shared" si="13"/>
        <v>460.74697895454557</v>
      </c>
      <c r="H25" s="23">
        <f>SUM(B25:G25)</f>
        <v>2774.2150696875001</v>
      </c>
    </row>
    <row r="26" spans="1:8" x14ac:dyDescent="0.3">
      <c r="A26" s="32"/>
      <c r="B26" s="33"/>
      <c r="C26" s="33"/>
      <c r="D26" s="33"/>
      <c r="E26" s="33"/>
      <c r="F26" s="33"/>
      <c r="G26" s="33"/>
      <c r="H26" s="33"/>
    </row>
    <row r="27" spans="1:8" x14ac:dyDescent="0.3">
      <c r="A27" s="37" t="s">
        <v>64</v>
      </c>
      <c r="B27" s="38">
        <f>B21-B25</f>
        <v>297.52381996590873</v>
      </c>
      <c r="C27" s="38">
        <f t="shared" ref="C27:H27" si="14">C21-C25</f>
        <v>676.55961239204498</v>
      </c>
      <c r="D27" s="38">
        <f t="shared" si="14"/>
        <v>1798.0735188181811</v>
      </c>
      <c r="E27" s="38">
        <f t="shared" si="14"/>
        <v>1709.8943995000002</v>
      </c>
      <c r="F27" s="38">
        <f t="shared" si="14"/>
        <v>1762.8018710909087</v>
      </c>
      <c r="G27" s="38">
        <f t="shared" si="14"/>
        <v>1190.6758846818186</v>
      </c>
      <c r="H27" s="38">
        <f t="shared" si="14"/>
        <v>7435.5291064488629</v>
      </c>
    </row>
    <row r="28" spans="1:8" x14ac:dyDescent="0.3">
      <c r="A28" s="34" t="s">
        <v>100</v>
      </c>
      <c r="B28" s="36">
        <f>B18-B25</f>
        <v>-2502.4761800340912</v>
      </c>
      <c r="C28" s="36">
        <f t="shared" ref="C28:G28" si="15">C18-C25</f>
        <v>1276.559612392045</v>
      </c>
      <c r="D28" s="36">
        <f t="shared" si="15"/>
        <v>216.25533699999914</v>
      </c>
      <c r="E28" s="36">
        <f t="shared" si="15"/>
        <v>3128.076217681818</v>
      </c>
      <c r="F28" s="36">
        <f t="shared" si="15"/>
        <v>3180.9836892727267</v>
      </c>
      <c r="G28" s="36">
        <f t="shared" si="15"/>
        <v>2136.1304301363639</v>
      </c>
      <c r="H28" s="36"/>
    </row>
    <row r="29" spans="1:8" x14ac:dyDescent="0.3">
      <c r="A29" s="12"/>
      <c r="B29" s="25"/>
      <c r="C29" s="25"/>
      <c r="D29" s="25"/>
      <c r="E29" s="25"/>
      <c r="F29" s="25"/>
      <c r="G29" s="25"/>
      <c r="H29" s="16"/>
    </row>
    <row r="30" spans="1:8" x14ac:dyDescent="0.3">
      <c r="A30" s="12"/>
      <c r="B30" s="25"/>
      <c r="C30" s="25"/>
      <c r="D30" s="25"/>
      <c r="E30" s="25"/>
      <c r="F30" s="25"/>
      <c r="G30" s="25"/>
      <c r="H30" s="16"/>
    </row>
    <row r="31" spans="1:8" x14ac:dyDescent="0.3">
      <c r="A31" s="26"/>
    </row>
    <row r="32" spans="1:8" x14ac:dyDescent="0.3">
      <c r="A32" s="40" t="s">
        <v>43</v>
      </c>
      <c r="B32" s="41">
        <v>0.15</v>
      </c>
      <c r="C32" s="13" t="s">
        <v>53</v>
      </c>
    </row>
    <row r="33" spans="1:4" x14ac:dyDescent="0.3">
      <c r="A33" s="40" t="s">
        <v>54</v>
      </c>
      <c r="B33" s="44">
        <v>0.2</v>
      </c>
      <c r="C33" s="13" t="s">
        <v>55</v>
      </c>
    </row>
    <row r="34" spans="1:4" x14ac:dyDescent="0.3">
      <c r="A34" s="40" t="s">
        <v>56</v>
      </c>
      <c r="B34" s="44">
        <v>17.36</v>
      </c>
      <c r="C34" s="13" t="s">
        <v>57</v>
      </c>
    </row>
    <row r="35" spans="1:4" x14ac:dyDescent="0.3">
      <c r="A35" s="40" t="s">
        <v>58</v>
      </c>
      <c r="B35" s="45">
        <v>5.0000000000000001E-3</v>
      </c>
      <c r="C35" s="13" t="s">
        <v>59</v>
      </c>
    </row>
    <row r="36" spans="1:4" x14ac:dyDescent="0.3">
      <c r="A36" s="40" t="s">
        <v>60</v>
      </c>
      <c r="B36" s="46">
        <v>120</v>
      </c>
      <c r="C36" s="13" t="s">
        <v>62</v>
      </c>
      <c r="D36" s="27"/>
    </row>
    <row r="37" spans="1:4" ht="17.399999999999999" customHeight="1" x14ac:dyDescent="0.3">
      <c r="A37" s="40" t="s">
        <v>63</v>
      </c>
      <c r="B37" s="46">
        <v>1500</v>
      </c>
      <c r="C37" s="13" t="s">
        <v>62</v>
      </c>
      <c r="D37" s="27"/>
    </row>
    <row r="38" spans="1:4" x14ac:dyDescent="0.3">
      <c r="A38" s="43" t="s">
        <v>38</v>
      </c>
      <c r="B38" s="42">
        <f>'calcolo fatturato'!C21</f>
        <v>4</v>
      </c>
    </row>
  </sheetData>
  <sheetProtection algorithmName="SHA-512" hashValue="B8lO8GIJ+aiaYmfwNet6zjsbROja2kJXiIaWpOUFTJLzBz3fDktscPRq17+d00mwJOefE+Dq7wMUcihls8SObA==" saltValue="w/nX7r3cd5/pACcaGdluog==" spinCount="100000" sheet="1" objects="1" scenarios="1"/>
  <protectedRanges>
    <protectedRange algorithmName="SHA-512" hashValue="fITLFOuAwo2jsFAhVQjeE0Q5b3xlWFfCA1sBhRleIyUfJkXbLkenIYKd52FThZCmVJefcN8RnMG1YkOnedWaiw==" saltValue="QAzvECcpTnf56bJnlH+9hQ==" spinCount="100000" sqref="B36 B38" name="Intervallo1"/>
  </protectedRanges>
  <mergeCells count="2">
    <mergeCell ref="A2:H2"/>
    <mergeCell ref="A1:H1"/>
  </mergeCells>
  <pageMargins left="0.11811023622047245" right="0.19685039370078741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20503-C531-4657-A815-060D64DE19B1}">
  <sheetPr codeName="Foglio4">
    <pageSetUpPr fitToPage="1"/>
  </sheetPr>
  <dimension ref="A1:I38"/>
  <sheetViews>
    <sheetView topLeftCell="A4" zoomScale="115" zoomScaleNormal="115" workbookViewId="0">
      <selection activeCell="B40" sqref="B40"/>
    </sheetView>
  </sheetViews>
  <sheetFormatPr defaultColWidth="8.88671875" defaultRowHeight="13.8" x14ac:dyDescent="0.3"/>
  <cols>
    <col min="1" max="1" width="50.21875" style="13" customWidth="1"/>
    <col min="2" max="7" width="11.5546875" style="13" customWidth="1"/>
    <col min="8" max="8" width="14.33203125" style="13" customWidth="1"/>
    <col min="9" max="9" width="9.33203125" style="13" bestFit="1" customWidth="1"/>
    <col min="10" max="16384" width="8.88671875" style="13"/>
  </cols>
  <sheetData>
    <row r="1" spans="1:9" ht="33.6" x14ac:dyDescent="0.65">
      <c r="A1" s="195" t="str">
        <f>utilizzatori!B7</f>
        <v>LOTTO 6 - Comune di Pozzuolo Martesana</v>
      </c>
      <c r="B1" s="195"/>
      <c r="C1" s="195"/>
      <c r="D1" s="195"/>
      <c r="E1" s="195"/>
      <c r="F1" s="195"/>
      <c r="G1" s="195"/>
      <c r="H1" s="195"/>
    </row>
    <row r="2" spans="1:9" ht="33.6" x14ac:dyDescent="0.65">
      <c r="A2" s="196" t="s">
        <v>52</v>
      </c>
      <c r="B2" s="197"/>
      <c r="C2" s="197"/>
      <c r="D2" s="197"/>
      <c r="E2" s="197"/>
      <c r="F2" s="197"/>
      <c r="G2" s="197"/>
      <c r="H2" s="197"/>
    </row>
    <row r="3" spans="1:9" ht="27.6" x14ac:dyDescent="0.3">
      <c r="A3" s="39" t="s">
        <v>39</v>
      </c>
      <c r="B3" s="39" t="s">
        <v>34</v>
      </c>
      <c r="C3" s="39">
        <v>2026</v>
      </c>
      <c r="D3" s="39">
        <v>2027</v>
      </c>
      <c r="E3" s="39">
        <v>2028</v>
      </c>
      <c r="F3" s="39">
        <v>2029</v>
      </c>
      <c r="G3" s="39" t="s">
        <v>35</v>
      </c>
      <c r="H3" s="39" t="s">
        <v>2</v>
      </c>
    </row>
    <row r="4" spans="1:9" x14ac:dyDescent="0.3">
      <c r="A4" s="8" t="s">
        <v>40</v>
      </c>
      <c r="B4" s="14">
        <f>'calcolo fatturato'!C4*'calcolo fatturato'!C5*'calcolo fatturato'!C6*'calcolo fatturato'!C10</f>
        <v>1893.054545454545</v>
      </c>
      <c r="C4" s="14">
        <f>'calcolo fatturato'!D4*'calcolo fatturato'!D5*'calcolo fatturato'!D6*'calcolo fatturato'!D10</f>
        <v>5653.5818181818177</v>
      </c>
      <c r="D4" s="14">
        <f>'calcolo fatturato'!E4*'calcolo fatturato'!E5*'calcolo fatturato'!E6*'calcolo fatturato'!E10</f>
        <v>5679.1636363636362</v>
      </c>
      <c r="E4" s="14">
        <f>'calcolo fatturato'!F4*'calcolo fatturato'!F5*'calcolo fatturato'!F6*'calcolo fatturato'!F10</f>
        <v>5551.2545454545452</v>
      </c>
      <c r="F4" s="14">
        <f>'calcolo fatturato'!G4*'calcolo fatturato'!G5*'calcolo fatturato'!G6*'calcolo fatturato'!G10</f>
        <v>5627.9999999999991</v>
      </c>
      <c r="G4" s="14">
        <f>'calcolo fatturato'!H4*'calcolo fatturato'!H5*'calcolo fatturato'!H6*'calcolo fatturato'!H10</f>
        <v>3760.5272727272732</v>
      </c>
      <c r="H4" s="15">
        <f t="shared" ref="H4:H17" si="0">SUM(B4:G4)</f>
        <v>28165.581818181818</v>
      </c>
      <c r="I4" s="16"/>
    </row>
    <row r="5" spans="1:9" x14ac:dyDescent="0.3">
      <c r="A5" s="10" t="s">
        <v>41</v>
      </c>
      <c r="B5" s="17">
        <f>B4</f>
        <v>1893.054545454545</v>
      </c>
      <c r="C5" s="17">
        <f t="shared" ref="C5:H5" si="1">C4</f>
        <v>5653.5818181818177</v>
      </c>
      <c r="D5" s="17">
        <f t="shared" si="1"/>
        <v>5679.1636363636362</v>
      </c>
      <c r="E5" s="17">
        <f t="shared" si="1"/>
        <v>5551.2545454545452</v>
      </c>
      <c r="F5" s="17">
        <f t="shared" si="1"/>
        <v>5627.9999999999991</v>
      </c>
      <c r="G5" s="17">
        <f t="shared" si="1"/>
        <v>3760.5272727272732</v>
      </c>
      <c r="H5" s="17">
        <f t="shared" si="1"/>
        <v>28165.581818181818</v>
      </c>
      <c r="I5" s="16"/>
    </row>
    <row r="6" spans="1:9" x14ac:dyDescent="0.3">
      <c r="A6" s="11"/>
      <c r="B6" s="18"/>
      <c r="C6" s="18"/>
      <c r="D6" s="18"/>
      <c r="E6" s="18"/>
      <c r="F6" s="18"/>
      <c r="G6" s="18"/>
      <c r="H6" s="18"/>
      <c r="I6" s="16"/>
    </row>
    <row r="7" spans="1:9" x14ac:dyDescent="0.3">
      <c r="A7" s="8" t="s">
        <v>43</v>
      </c>
      <c r="B7" s="68">
        <f t="shared" ref="B7:G7" si="2">$B$32*(B8+B9+B10)</f>
        <v>103.85549999999999</v>
      </c>
      <c r="C7" s="68">
        <f t="shared" si="2"/>
        <v>307.87574999999998</v>
      </c>
      <c r="D7" s="68">
        <f t="shared" si="2"/>
        <v>308.96249999999998</v>
      </c>
      <c r="E7" s="68">
        <f t="shared" si="2"/>
        <v>303.52875</v>
      </c>
      <c r="F7" s="68">
        <f t="shared" si="2"/>
        <v>306.78900000000004</v>
      </c>
      <c r="G7" s="68">
        <f t="shared" si="2"/>
        <v>204.02025</v>
      </c>
      <c r="H7" s="69">
        <f t="shared" si="0"/>
        <v>1535.0317499999999</v>
      </c>
    </row>
    <row r="8" spans="1:9" x14ac:dyDescent="0.3">
      <c r="A8" s="8" t="s">
        <v>68</v>
      </c>
      <c r="B8" s="14">
        <f>$B$33*'calcolo fatturato'!C16</f>
        <v>518</v>
      </c>
      <c r="C8" s="14">
        <f>$B$33*'calcolo fatturato'!D16</f>
        <v>1547</v>
      </c>
      <c r="D8" s="14">
        <f>$B$33*'calcolo fatturato'!E16</f>
        <v>1554</v>
      </c>
      <c r="E8" s="14">
        <f>$B$33*'calcolo fatturato'!F16</f>
        <v>1519</v>
      </c>
      <c r="F8" s="14">
        <f>$B$33*'calcolo fatturato'!G16</f>
        <v>1540</v>
      </c>
      <c r="G8" s="14">
        <f>$B$33*'calcolo fatturato'!H16</f>
        <v>1029</v>
      </c>
      <c r="H8" s="15">
        <f t="shared" si="0"/>
        <v>7707</v>
      </c>
    </row>
    <row r="9" spans="1:9" x14ac:dyDescent="0.3">
      <c r="A9" s="8" t="s">
        <v>42</v>
      </c>
      <c r="B9" s="14">
        <f>$B$34/4*18*$B$38</f>
        <v>156.24</v>
      </c>
      <c r="C9" s="14">
        <f>$B$34/4*52*$B$38</f>
        <v>451.36</v>
      </c>
      <c r="D9" s="14">
        <f t="shared" ref="D9:F9" si="3">$B$34/4*52*$B$38</f>
        <v>451.36</v>
      </c>
      <c r="E9" s="14">
        <f t="shared" si="3"/>
        <v>451.36</v>
      </c>
      <c r="F9" s="14">
        <f t="shared" si="3"/>
        <v>451.36</v>
      </c>
      <c r="G9" s="14">
        <f>$B$34/4*34*$B$38</f>
        <v>295.12</v>
      </c>
      <c r="H9" s="15">
        <f>SUM(B9:G9)</f>
        <v>2256.8000000000002</v>
      </c>
    </row>
    <row r="10" spans="1:9" s="49" customFormat="1" ht="27.6" x14ac:dyDescent="0.3">
      <c r="A10" s="8" t="s">
        <v>67</v>
      </c>
      <c r="B10" s="47">
        <f>3.5%*B8</f>
        <v>18.130000000000003</v>
      </c>
      <c r="C10" s="47">
        <f t="shared" ref="C10:G10" si="4">3.5%*C8</f>
        <v>54.145000000000003</v>
      </c>
      <c r="D10" s="47">
        <f t="shared" si="4"/>
        <v>54.390000000000008</v>
      </c>
      <c r="E10" s="47">
        <f t="shared" si="4"/>
        <v>53.165000000000006</v>
      </c>
      <c r="F10" s="47">
        <f t="shared" si="4"/>
        <v>53.900000000000006</v>
      </c>
      <c r="G10" s="47">
        <f t="shared" si="4"/>
        <v>36.015000000000001</v>
      </c>
      <c r="H10" s="48">
        <f>SUM(B10:G10)</f>
        <v>269.74500000000006</v>
      </c>
    </row>
    <row r="11" spans="1:9" s="19" customFormat="1" x14ac:dyDescent="0.3">
      <c r="A11" s="9" t="s">
        <v>11</v>
      </c>
      <c r="B11" s="14">
        <f t="shared" ref="B11:G11" si="5">B4*$B$35</f>
        <v>9.4652727272727244</v>
      </c>
      <c r="C11" s="14">
        <f t="shared" si="5"/>
        <v>28.26790909090909</v>
      </c>
      <c r="D11" s="14">
        <f t="shared" si="5"/>
        <v>28.395818181818182</v>
      </c>
      <c r="E11" s="14">
        <f t="shared" si="5"/>
        <v>27.756272727272727</v>
      </c>
      <c r="F11" s="14">
        <f t="shared" si="5"/>
        <v>28.139999999999997</v>
      </c>
      <c r="G11" s="14">
        <f t="shared" si="5"/>
        <v>18.802636363636367</v>
      </c>
      <c r="H11" s="15">
        <f t="shared" si="0"/>
        <v>140.82790909090909</v>
      </c>
    </row>
    <row r="12" spans="1:9" x14ac:dyDescent="0.3">
      <c r="A12" s="8" t="s">
        <v>61</v>
      </c>
      <c r="B12" s="14">
        <f>$B$36*($B$38)/12*4</f>
        <v>80</v>
      </c>
      <c r="C12" s="14">
        <f>$B$36*$B$38</f>
        <v>240</v>
      </c>
      <c r="D12" s="14">
        <f>$B$36*$B$38</f>
        <v>240</v>
      </c>
      <c r="E12" s="14">
        <f>$B$36*$B$38</f>
        <v>240</v>
      </c>
      <c r="F12" s="14">
        <f>$B$36*$B$38</f>
        <v>240</v>
      </c>
      <c r="G12" s="14">
        <f>$B$36*$B$38/12*8</f>
        <v>160</v>
      </c>
      <c r="H12" s="15">
        <f t="shared" si="0"/>
        <v>1200</v>
      </c>
    </row>
    <row r="13" spans="1:9" x14ac:dyDescent="0.3">
      <c r="A13" s="10" t="s">
        <v>44</v>
      </c>
      <c r="B13" s="17">
        <f t="shared" ref="B13:G13" si="6">SUM(B7:B12)</f>
        <v>885.6907727272727</v>
      </c>
      <c r="C13" s="17">
        <f t="shared" si="6"/>
        <v>2628.648659090909</v>
      </c>
      <c r="D13" s="17">
        <f t="shared" si="6"/>
        <v>2637.108318181818</v>
      </c>
      <c r="E13" s="17">
        <f t="shared" si="6"/>
        <v>2594.8100227272726</v>
      </c>
      <c r="F13" s="17">
        <f t="shared" si="6"/>
        <v>2620.1889999999999</v>
      </c>
      <c r="G13" s="17">
        <f t="shared" si="6"/>
        <v>1742.9578863636364</v>
      </c>
      <c r="H13" s="20">
        <f t="shared" si="0"/>
        <v>13109.404659090909</v>
      </c>
    </row>
    <row r="14" spans="1:9" x14ac:dyDescent="0.3">
      <c r="A14" s="11"/>
      <c r="B14" s="18"/>
      <c r="C14" s="18"/>
      <c r="D14" s="18"/>
      <c r="E14" s="18"/>
      <c r="F14" s="18"/>
      <c r="G14" s="18"/>
      <c r="H14" s="21"/>
    </row>
    <row r="15" spans="1:9" x14ac:dyDescent="0.3">
      <c r="A15" s="10" t="s">
        <v>45</v>
      </c>
      <c r="B15" s="17">
        <f t="shared" ref="B15:H15" si="7">B5-B13</f>
        <v>1007.3637727272722</v>
      </c>
      <c r="C15" s="17">
        <f t="shared" si="7"/>
        <v>3024.9331590909087</v>
      </c>
      <c r="D15" s="17">
        <f t="shared" si="7"/>
        <v>3042.0553181818182</v>
      </c>
      <c r="E15" s="17">
        <f t="shared" si="7"/>
        <v>2956.4445227272727</v>
      </c>
      <c r="F15" s="17">
        <f t="shared" si="7"/>
        <v>3007.8109999999992</v>
      </c>
      <c r="G15" s="17">
        <f t="shared" si="7"/>
        <v>2017.5693863636368</v>
      </c>
      <c r="H15" s="17">
        <f t="shared" si="7"/>
        <v>15056.177159090908</v>
      </c>
    </row>
    <row r="16" spans="1:9" x14ac:dyDescent="0.3">
      <c r="A16" s="11"/>
      <c r="B16" s="18"/>
      <c r="C16" s="18"/>
      <c r="D16" s="18"/>
      <c r="E16" s="18"/>
      <c r="F16" s="18"/>
      <c r="G16" s="18"/>
      <c r="H16" s="18"/>
    </row>
    <row r="17" spans="1:8" x14ac:dyDescent="0.3">
      <c r="A17" s="10" t="s">
        <v>48</v>
      </c>
      <c r="B17" s="17">
        <f>B37*B38</f>
        <v>3000</v>
      </c>
      <c r="C17" s="22"/>
      <c r="D17" s="17"/>
      <c r="E17" s="22"/>
      <c r="F17" s="22"/>
      <c r="G17" s="22"/>
      <c r="H17" s="20">
        <f t="shared" si="0"/>
        <v>3000</v>
      </c>
    </row>
    <row r="18" spans="1:8" x14ac:dyDescent="0.3">
      <c r="A18" s="34" t="s">
        <v>65</v>
      </c>
      <c r="B18" s="35">
        <f t="shared" ref="B18:G18" si="8">B15-B17</f>
        <v>-1992.6362272727279</v>
      </c>
      <c r="C18" s="35">
        <f t="shared" si="8"/>
        <v>3024.9331590909087</v>
      </c>
      <c r="D18" s="35">
        <f t="shared" si="8"/>
        <v>3042.0553181818182</v>
      </c>
      <c r="E18" s="35">
        <f t="shared" si="8"/>
        <v>2956.4445227272727</v>
      </c>
      <c r="F18" s="35">
        <f t="shared" si="8"/>
        <v>3007.8109999999992</v>
      </c>
      <c r="G18" s="35">
        <f t="shared" si="8"/>
        <v>2017.5693863636368</v>
      </c>
      <c r="H18" s="35">
        <f>SUM(B18:G18)</f>
        <v>12056.177159090908</v>
      </c>
    </row>
    <row r="19" spans="1:8" x14ac:dyDescent="0.3">
      <c r="A19" s="11"/>
      <c r="B19" s="18"/>
      <c r="C19" s="18"/>
      <c r="D19" s="18"/>
      <c r="E19" s="18"/>
      <c r="F19" s="18"/>
      <c r="G19" s="18"/>
      <c r="H19" s="18"/>
    </row>
    <row r="20" spans="1:8" x14ac:dyDescent="0.3">
      <c r="A20" s="10" t="s">
        <v>49</v>
      </c>
      <c r="B20" s="17">
        <f>$B$17/5/12*4</f>
        <v>200</v>
      </c>
      <c r="C20" s="17">
        <f>$B$17/5</f>
        <v>600</v>
      </c>
      <c r="D20" s="17">
        <f>($B$17/5)+($D$17/44*12)</f>
        <v>600</v>
      </c>
      <c r="E20" s="17">
        <f t="shared" ref="E20:F20" si="9">($B$17/5)+($D$17/44*12)</f>
        <v>600</v>
      </c>
      <c r="F20" s="17">
        <f t="shared" si="9"/>
        <v>600</v>
      </c>
      <c r="G20" s="17">
        <f>($B$17/5/12*8)+($D$17/44*8)</f>
        <v>400</v>
      </c>
      <c r="H20" s="17">
        <f>SUM(B20:G20)</f>
        <v>3000</v>
      </c>
    </row>
    <row r="21" spans="1:8" x14ac:dyDescent="0.3">
      <c r="A21" s="10" t="s">
        <v>50</v>
      </c>
      <c r="B21" s="23">
        <f t="shared" ref="B21:G21" si="10">B15-B20</f>
        <v>807.36377272727225</v>
      </c>
      <c r="C21" s="23">
        <f t="shared" si="10"/>
        <v>2424.9331590909087</v>
      </c>
      <c r="D21" s="23">
        <f t="shared" si="10"/>
        <v>2442.0553181818182</v>
      </c>
      <c r="E21" s="23">
        <f t="shared" si="10"/>
        <v>2356.4445227272727</v>
      </c>
      <c r="F21" s="23">
        <f t="shared" si="10"/>
        <v>2407.8109999999992</v>
      </c>
      <c r="G21" s="23">
        <f t="shared" si="10"/>
        <v>1617.5693863636368</v>
      </c>
      <c r="H21" s="24">
        <f>SUM(B21:G21)</f>
        <v>12056.177159090908</v>
      </c>
    </row>
    <row r="22" spans="1:8" x14ac:dyDescent="0.3">
      <c r="A22" s="11"/>
      <c r="B22" s="28"/>
      <c r="C22" s="28"/>
      <c r="D22" s="28"/>
      <c r="E22" s="28"/>
      <c r="F22" s="28"/>
      <c r="G22" s="28"/>
      <c r="H22" s="29"/>
    </row>
    <row r="23" spans="1:8" x14ac:dyDescent="0.3">
      <c r="A23" s="30" t="s">
        <v>46</v>
      </c>
      <c r="B23" s="31"/>
      <c r="C23" s="31">
        <f>C21*24%</f>
        <v>581.98395818181802</v>
      </c>
      <c r="D23" s="31">
        <f t="shared" ref="D23:G23" si="11">D21*24%</f>
        <v>586.09327636363639</v>
      </c>
      <c r="E23" s="31">
        <f t="shared" si="11"/>
        <v>565.54668545454547</v>
      </c>
      <c r="F23" s="31">
        <f t="shared" si="11"/>
        <v>577.87463999999977</v>
      </c>
      <c r="G23" s="31">
        <f t="shared" si="11"/>
        <v>388.21665272727284</v>
      </c>
      <c r="H23" s="31">
        <f>SUM(B23:G23)</f>
        <v>2699.7152127272725</v>
      </c>
    </row>
    <row r="24" spans="1:8" x14ac:dyDescent="0.3">
      <c r="A24" s="30" t="s">
        <v>47</v>
      </c>
      <c r="B24" s="31">
        <f>B21*3.9%</f>
        <v>31.487187136363616</v>
      </c>
      <c r="C24" s="31">
        <f t="shared" ref="C24:G24" si="12">C21*3.9%</f>
        <v>94.572393204545435</v>
      </c>
      <c r="D24" s="31">
        <f t="shared" si="12"/>
        <v>95.240157409090912</v>
      </c>
      <c r="E24" s="31">
        <f t="shared" si="12"/>
        <v>91.901336386363639</v>
      </c>
      <c r="F24" s="31">
        <f t="shared" si="12"/>
        <v>93.904628999999971</v>
      </c>
      <c r="G24" s="31">
        <f t="shared" si="12"/>
        <v>63.085206068181833</v>
      </c>
      <c r="H24" s="31">
        <f>SUM(B24:G24)</f>
        <v>470.19090920454539</v>
      </c>
    </row>
    <row r="25" spans="1:8" x14ac:dyDescent="0.3">
      <c r="A25" s="10" t="s">
        <v>51</v>
      </c>
      <c r="B25" s="23">
        <f>B23+B24</f>
        <v>31.487187136363616</v>
      </c>
      <c r="C25" s="23">
        <f t="shared" ref="C25:G25" si="13">C23+C24</f>
        <v>676.55635138636342</v>
      </c>
      <c r="D25" s="23">
        <f t="shared" si="13"/>
        <v>681.33343377272729</v>
      </c>
      <c r="E25" s="23">
        <f t="shared" si="13"/>
        <v>657.44802184090906</v>
      </c>
      <c r="F25" s="23">
        <f t="shared" si="13"/>
        <v>671.77926899999977</v>
      </c>
      <c r="G25" s="23">
        <f t="shared" si="13"/>
        <v>451.30185879545468</v>
      </c>
      <c r="H25" s="23">
        <f>SUM(B25:G25)</f>
        <v>3169.9061219318178</v>
      </c>
    </row>
    <row r="26" spans="1:8" x14ac:dyDescent="0.3">
      <c r="A26" s="32"/>
      <c r="B26" s="33"/>
      <c r="C26" s="33"/>
      <c r="D26" s="33"/>
      <c r="E26" s="33"/>
      <c r="F26" s="33"/>
      <c r="G26" s="33"/>
      <c r="H26" s="33"/>
    </row>
    <row r="27" spans="1:8" x14ac:dyDescent="0.3">
      <c r="A27" s="37" t="s">
        <v>64</v>
      </c>
      <c r="B27" s="38">
        <f>B21-B25</f>
        <v>775.87658559090869</v>
      </c>
      <c r="C27" s="38">
        <f t="shared" ref="C27:H27" si="14">C21-C25</f>
        <v>1748.3768077045452</v>
      </c>
      <c r="D27" s="38">
        <f t="shared" si="14"/>
        <v>1760.7218844090908</v>
      </c>
      <c r="E27" s="38">
        <f t="shared" si="14"/>
        <v>1698.9965008863637</v>
      </c>
      <c r="F27" s="38">
        <f t="shared" si="14"/>
        <v>1736.0317309999996</v>
      </c>
      <c r="G27" s="38">
        <f t="shared" si="14"/>
        <v>1166.2675275681822</v>
      </c>
      <c r="H27" s="38">
        <f t="shared" si="14"/>
        <v>8886.2710371590911</v>
      </c>
    </row>
    <row r="28" spans="1:8" x14ac:dyDescent="0.3">
      <c r="A28" s="34" t="s">
        <v>100</v>
      </c>
      <c r="B28" s="36">
        <f>B18-B25</f>
        <v>-2024.1234144090915</v>
      </c>
      <c r="C28" s="36">
        <f t="shared" ref="C28:G28" si="15">C18-C25</f>
        <v>2348.3768077045452</v>
      </c>
      <c r="D28" s="36">
        <f t="shared" si="15"/>
        <v>2360.7218844090908</v>
      </c>
      <c r="E28" s="36">
        <f t="shared" si="15"/>
        <v>2298.9965008863637</v>
      </c>
      <c r="F28" s="36">
        <f t="shared" si="15"/>
        <v>2336.0317309999996</v>
      </c>
      <c r="G28" s="36">
        <f t="shared" si="15"/>
        <v>1566.2675275681822</v>
      </c>
      <c r="H28" s="36"/>
    </row>
    <row r="29" spans="1:8" x14ac:dyDescent="0.3">
      <c r="A29" s="12"/>
      <c r="B29" s="25"/>
      <c r="C29" s="25"/>
      <c r="D29" s="25"/>
      <c r="E29" s="25"/>
      <c r="F29" s="25"/>
      <c r="G29" s="25"/>
      <c r="H29" s="16"/>
    </row>
    <row r="30" spans="1:8" x14ac:dyDescent="0.3">
      <c r="A30" s="12"/>
      <c r="B30" s="25"/>
      <c r="C30" s="25"/>
      <c r="D30" s="25"/>
      <c r="E30" s="25"/>
      <c r="F30" s="25"/>
      <c r="G30" s="25"/>
      <c r="H30" s="16"/>
    </row>
    <row r="31" spans="1:8" x14ac:dyDescent="0.3">
      <c r="A31" s="26"/>
    </row>
    <row r="32" spans="1:8" x14ac:dyDescent="0.3">
      <c r="A32" s="40" t="s">
        <v>43</v>
      </c>
      <c r="B32" s="41">
        <v>0.15</v>
      </c>
      <c r="C32" s="13" t="s">
        <v>53</v>
      </c>
    </row>
    <row r="33" spans="1:4" x14ac:dyDescent="0.3">
      <c r="A33" s="40" t="s">
        <v>54</v>
      </c>
      <c r="B33" s="44">
        <v>0.2</v>
      </c>
      <c r="C33" s="13" t="s">
        <v>55</v>
      </c>
    </row>
    <row r="34" spans="1:4" x14ac:dyDescent="0.3">
      <c r="A34" s="40" t="s">
        <v>56</v>
      </c>
      <c r="B34" s="44">
        <v>17.36</v>
      </c>
      <c r="C34" s="13" t="s">
        <v>57</v>
      </c>
    </row>
    <row r="35" spans="1:4" x14ac:dyDescent="0.3">
      <c r="A35" s="40" t="s">
        <v>58</v>
      </c>
      <c r="B35" s="45">
        <v>5.0000000000000001E-3</v>
      </c>
      <c r="C35" s="13" t="s">
        <v>59</v>
      </c>
    </row>
    <row r="36" spans="1:4" x14ac:dyDescent="0.3">
      <c r="A36" s="40" t="s">
        <v>60</v>
      </c>
      <c r="B36" s="46">
        <v>120</v>
      </c>
      <c r="C36" s="13" t="s">
        <v>62</v>
      </c>
      <c r="D36" s="27"/>
    </row>
    <row r="37" spans="1:4" ht="17.399999999999999" customHeight="1" x14ac:dyDescent="0.3">
      <c r="A37" s="40" t="s">
        <v>63</v>
      </c>
      <c r="B37" s="46">
        <v>1500</v>
      </c>
      <c r="C37" s="13" t="s">
        <v>62</v>
      </c>
      <c r="D37" s="27"/>
    </row>
    <row r="38" spans="1:4" x14ac:dyDescent="0.3">
      <c r="A38" s="43" t="s">
        <v>38</v>
      </c>
      <c r="B38" s="42">
        <f>'calcolo fatturato'!C22</f>
        <v>2</v>
      </c>
    </row>
  </sheetData>
  <sheetProtection algorithmName="SHA-512" hashValue="bN/XRf/dj7M3298xluzLqZ0m/uPHuwBgXqD4UYiZiQjlbzlTn29nOfXJUW1eDPlFweCUUWh7iuOCpRnncqXAeQ==" saltValue="f5L3rwWXO/BTJLBejgH4dA==" spinCount="100000" sheet="1" objects="1" scenarios="1"/>
  <protectedRanges>
    <protectedRange algorithmName="SHA-512" hashValue="fITLFOuAwo2jsFAhVQjeE0Q5b3xlWFfCA1sBhRleIyUfJkXbLkenIYKd52FThZCmVJefcN8RnMG1YkOnedWaiw==" saltValue="QAzvECcpTnf56bJnlH+9hQ==" spinCount="100000" sqref="B36 B38" name="Intervallo1"/>
  </protectedRanges>
  <mergeCells count="2">
    <mergeCell ref="A1:H1"/>
    <mergeCell ref="A2:H2"/>
  </mergeCells>
  <pageMargins left="0.11811023622047245" right="0.19685039370078741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07A08-5279-4CAA-AA22-CB97F56925B5}">
  <sheetPr codeName="Foglio5">
    <pageSetUpPr fitToPage="1"/>
  </sheetPr>
  <dimension ref="A1:I28"/>
  <sheetViews>
    <sheetView topLeftCell="A7" workbookViewId="0">
      <selection activeCell="F28" sqref="F28"/>
    </sheetView>
  </sheetViews>
  <sheetFormatPr defaultRowHeight="15.6" x14ac:dyDescent="0.3"/>
  <cols>
    <col min="1" max="1" width="8.88671875" style="55"/>
    <col min="2" max="2" width="7.33203125" style="55" customWidth="1"/>
    <col min="3" max="3" width="45.33203125" style="55" customWidth="1"/>
    <col min="4" max="4" width="17" style="55" customWidth="1"/>
    <col min="5" max="5" width="15.33203125" style="55" customWidth="1"/>
    <col min="6" max="6" width="19.44140625" style="55" customWidth="1"/>
    <col min="7" max="7" width="20" style="55" customWidth="1"/>
    <col min="8" max="8" width="24.6640625" style="55" customWidth="1"/>
    <col min="9" max="9" width="11.6640625" style="55" bestFit="1" customWidth="1"/>
    <col min="10" max="16384" width="8.88671875" style="55"/>
  </cols>
  <sheetData>
    <row r="1" spans="1:8" ht="31.2" x14ac:dyDescent="0.6">
      <c r="A1" s="198" t="s">
        <v>69</v>
      </c>
      <c r="B1" s="198"/>
      <c r="C1" s="198"/>
      <c r="D1" s="198"/>
      <c r="E1" s="198"/>
      <c r="F1" s="199"/>
      <c r="G1" s="199"/>
      <c r="H1" s="199"/>
    </row>
    <row r="2" spans="1:8" ht="49.95" customHeight="1" x14ac:dyDescent="0.3">
      <c r="A2" s="73"/>
      <c r="B2" s="70"/>
      <c r="C2" s="71"/>
      <c r="D2" s="72"/>
      <c r="E2" s="74" t="s">
        <v>2</v>
      </c>
      <c r="F2" s="74" t="str">
        <f>'calcolo fatturato'!B8</f>
        <v>LOTTO 4 - Comune di Bellizago Lombardo</v>
      </c>
      <c r="G2" s="74" t="str">
        <f>'calcolo fatturato'!B9</f>
        <v>LOTTO 5 - Comune di Liscate</v>
      </c>
      <c r="H2" s="74" t="str">
        <f>'calcolo fatturato'!B10</f>
        <v>LOTTO 6 - Comune di Pozzuolo Martesana</v>
      </c>
    </row>
    <row r="3" spans="1:8" x14ac:dyDescent="0.3">
      <c r="A3" s="216" t="s">
        <v>98</v>
      </c>
      <c r="B3" s="75" t="s">
        <v>70</v>
      </c>
      <c r="C3" s="76" t="s">
        <v>71</v>
      </c>
      <c r="D3" s="77"/>
      <c r="E3" s="78">
        <f>'PEF UNIONE'!H3</f>
        <v>83327.290909090894</v>
      </c>
      <c r="F3" s="165">
        <f>'calcolo fatturato'!I8</f>
        <v>21124.18636363636</v>
      </c>
      <c r="G3" s="174">
        <f>'calcolo fatturato'!I9</f>
        <v>34037.522727272721</v>
      </c>
      <c r="H3" s="183">
        <f>'calcolo fatturato'!I10</f>
        <v>28165.581818181814</v>
      </c>
    </row>
    <row r="4" spans="1:8" ht="31.2" x14ac:dyDescent="0.3">
      <c r="A4" s="216"/>
      <c r="B4" s="75" t="s">
        <v>72</v>
      </c>
      <c r="C4" s="79" t="s">
        <v>96</v>
      </c>
      <c r="D4" s="77"/>
      <c r="E4" s="80">
        <f>'PEF UNIONE'!H8</f>
        <v>8419.6</v>
      </c>
      <c r="F4" s="165">
        <f>'PEF "BELLINZAGO LOMBARDO"'!H9</f>
        <v>2256.8000000000002</v>
      </c>
      <c r="G4" s="174">
        <f>'PEF "LISCATE"'!H9</f>
        <v>3906</v>
      </c>
      <c r="H4" s="183">
        <f>'PEF "POZZUOLO MARTESANA"'!H9</f>
        <v>2256.8000000000002</v>
      </c>
    </row>
    <row r="5" spans="1:8" ht="31.2" x14ac:dyDescent="0.3">
      <c r="A5" s="216"/>
      <c r="B5" s="75" t="s">
        <v>73</v>
      </c>
      <c r="C5" s="79" t="s">
        <v>97</v>
      </c>
      <c r="D5" s="77"/>
      <c r="E5" s="80">
        <v>0</v>
      </c>
      <c r="F5" s="166">
        <v>0</v>
      </c>
      <c r="G5" s="175">
        <v>0</v>
      </c>
      <c r="H5" s="184">
        <v>0</v>
      </c>
    </row>
    <row r="6" spans="1:8" ht="16.2" thickBot="1" x14ac:dyDescent="0.35">
      <c r="A6" s="216"/>
      <c r="B6" s="116"/>
      <c r="C6" s="117"/>
      <c r="D6" s="118"/>
      <c r="E6" s="119"/>
      <c r="F6" s="167"/>
      <c r="G6" s="176"/>
      <c r="H6" s="185"/>
    </row>
    <row r="7" spans="1:8" ht="16.2" thickBot="1" x14ac:dyDescent="0.35">
      <c r="A7" s="216"/>
      <c r="B7" s="217" t="s">
        <v>74</v>
      </c>
      <c r="C7" s="218"/>
      <c r="D7" s="219"/>
      <c r="E7" s="120">
        <f>E3</f>
        <v>83327.290909090894</v>
      </c>
      <c r="F7" s="168">
        <f>F3</f>
        <v>21124.18636363636</v>
      </c>
      <c r="G7" s="177">
        <f t="shared" ref="G7:H7" si="0">G3</f>
        <v>34037.522727272721</v>
      </c>
      <c r="H7" s="186">
        <f t="shared" si="0"/>
        <v>28165.581818181814</v>
      </c>
    </row>
    <row r="8" spans="1:8" x14ac:dyDescent="0.3">
      <c r="A8" s="216"/>
      <c r="B8" s="220"/>
      <c r="C8" s="221"/>
      <c r="D8" s="221"/>
      <c r="E8" s="222"/>
      <c r="F8" s="121"/>
      <c r="G8" s="122"/>
      <c r="H8" s="123"/>
    </row>
    <row r="9" spans="1:8" x14ac:dyDescent="0.3">
      <c r="A9" s="81"/>
      <c r="B9" s="70"/>
      <c r="C9" s="71"/>
      <c r="D9" s="72"/>
      <c r="E9" s="82"/>
    </row>
    <row r="10" spans="1:8" x14ac:dyDescent="0.3">
      <c r="A10" s="223" t="s">
        <v>75</v>
      </c>
      <c r="B10" s="214" t="s">
        <v>76</v>
      </c>
      <c r="C10" s="212"/>
      <c r="D10" s="212"/>
      <c r="E10" s="212"/>
      <c r="F10" s="212"/>
      <c r="G10" s="212"/>
      <c r="H10" s="215"/>
    </row>
    <row r="11" spans="1:8" x14ac:dyDescent="0.3">
      <c r="A11" s="223"/>
      <c r="B11" s="83" t="s">
        <v>77</v>
      </c>
      <c r="C11" s="84" t="s">
        <v>78</v>
      </c>
      <c r="D11" s="85"/>
      <c r="E11" s="114">
        <v>0</v>
      </c>
      <c r="F11" s="169">
        <v>0</v>
      </c>
      <c r="G11" s="178">
        <v>0</v>
      </c>
      <c r="H11" s="187">
        <v>0</v>
      </c>
    </row>
    <row r="12" spans="1:8" ht="31.2" x14ac:dyDescent="0.3">
      <c r="A12" s="223"/>
      <c r="B12" s="86" t="s">
        <v>79</v>
      </c>
      <c r="C12" s="87" t="s">
        <v>80</v>
      </c>
      <c r="D12" s="88"/>
      <c r="E12" s="115">
        <v>0</v>
      </c>
      <c r="F12" s="169">
        <v>0</v>
      </c>
      <c r="G12" s="178">
        <v>0</v>
      </c>
      <c r="H12" s="187">
        <v>0</v>
      </c>
    </row>
    <row r="13" spans="1:8" x14ac:dyDescent="0.3">
      <c r="A13" s="223"/>
      <c r="B13" s="86" t="s">
        <v>81</v>
      </c>
      <c r="C13" s="87" t="s">
        <v>82</v>
      </c>
      <c r="D13" s="89"/>
      <c r="E13" s="115">
        <f>SUM(F13:H13)</f>
        <v>307.5</v>
      </c>
      <c r="F13" s="170">
        <v>102.5</v>
      </c>
      <c r="G13" s="179">
        <v>102.5</v>
      </c>
      <c r="H13" s="188">
        <v>102.5</v>
      </c>
    </row>
    <row r="14" spans="1:8" ht="31.2" x14ac:dyDescent="0.3">
      <c r="A14" s="224"/>
      <c r="B14" s="90" t="s">
        <v>83</v>
      </c>
      <c r="C14" s="91" t="s">
        <v>84</v>
      </c>
      <c r="D14" s="92"/>
      <c r="E14" s="115">
        <f>E7*2%</f>
        <v>1666.5458181818178</v>
      </c>
      <c r="F14" s="170">
        <f>2%*F3</f>
        <v>422.48372727272721</v>
      </c>
      <c r="G14" s="179">
        <f>2%*G3</f>
        <v>680.75045454545443</v>
      </c>
      <c r="H14" s="188">
        <f>2%*H3</f>
        <v>563.31163636363624</v>
      </c>
    </row>
    <row r="15" spans="1:8" ht="16.2" thickBot="1" x14ac:dyDescent="0.35">
      <c r="A15" s="224"/>
      <c r="B15" s="90" t="s">
        <v>85</v>
      </c>
      <c r="C15" s="91" t="s">
        <v>86</v>
      </c>
      <c r="D15" s="92"/>
      <c r="E15" s="115">
        <v>0</v>
      </c>
      <c r="F15" s="171"/>
      <c r="G15" s="180"/>
      <c r="H15" s="189"/>
    </row>
    <row r="16" spans="1:8" ht="16.2" thickBot="1" x14ac:dyDescent="0.35">
      <c r="A16" s="224"/>
      <c r="B16" s="93"/>
      <c r="C16" s="203" t="s">
        <v>87</v>
      </c>
      <c r="D16" s="204"/>
      <c r="E16" s="94">
        <f>SUM(E11:E15)</f>
        <v>1974.0458181818178</v>
      </c>
      <c r="F16" s="168">
        <f>SUM(F11:F15)</f>
        <v>524.98372727272726</v>
      </c>
      <c r="G16" s="177">
        <f t="shared" ref="G16:H16" si="1">SUM(G11:G15)</f>
        <v>783.25045454545443</v>
      </c>
      <c r="H16" s="186">
        <f t="shared" si="1"/>
        <v>665.81163636363624</v>
      </c>
    </row>
    <row r="17" spans="1:9" x14ac:dyDescent="0.3">
      <c r="A17" s="95"/>
      <c r="B17" s="70"/>
      <c r="C17" s="96"/>
      <c r="D17" s="72"/>
      <c r="E17" s="82"/>
    </row>
    <row r="18" spans="1:9" x14ac:dyDescent="0.3">
      <c r="A18" s="202" t="s">
        <v>88</v>
      </c>
      <c r="B18" s="210" t="s">
        <v>89</v>
      </c>
      <c r="C18" s="211"/>
      <c r="D18" s="211"/>
      <c r="E18" s="212"/>
      <c r="F18" s="212"/>
      <c r="G18" s="212"/>
      <c r="H18" s="213"/>
    </row>
    <row r="19" spans="1:9" ht="15.6" customHeight="1" thickBot="1" x14ac:dyDescent="0.35">
      <c r="A19" s="202"/>
      <c r="B19" s="97" t="s">
        <v>109</v>
      </c>
      <c r="C19" s="98" t="s">
        <v>90</v>
      </c>
      <c r="D19" s="99">
        <v>0.1</v>
      </c>
      <c r="E19" s="100">
        <f>D19*E3</f>
        <v>8332.7290909090898</v>
      </c>
      <c r="F19" s="172">
        <f>$D$19*F3</f>
        <v>2112.4186363636359</v>
      </c>
      <c r="G19" s="181">
        <f>$D$19*G3</f>
        <v>3403.7522727272722</v>
      </c>
      <c r="H19" s="190">
        <f>$D$19*H3</f>
        <v>2816.5581818181818</v>
      </c>
    </row>
    <row r="20" spans="1:9" ht="16.2" thickBot="1" x14ac:dyDescent="0.35">
      <c r="A20" s="101"/>
      <c r="B20" s="102"/>
      <c r="C20" s="203" t="s">
        <v>91</v>
      </c>
      <c r="D20" s="204"/>
      <c r="E20" s="113">
        <f>SUM(E19:E19)</f>
        <v>8332.7290909090898</v>
      </c>
      <c r="F20" s="168">
        <f>SUM(F19)</f>
        <v>2112.4186363636359</v>
      </c>
      <c r="G20" s="177">
        <f t="shared" ref="G20:H20" si="2">SUM(G19)</f>
        <v>3403.7522727272722</v>
      </c>
      <c r="H20" s="186">
        <f t="shared" si="2"/>
        <v>2816.5581818181818</v>
      </c>
    </row>
    <row r="21" spans="1:9" ht="16.2" thickBot="1" x14ac:dyDescent="0.35">
      <c r="A21" s="103"/>
      <c r="B21" s="70"/>
      <c r="C21" s="104"/>
      <c r="D21" s="105"/>
      <c r="E21" s="106"/>
    </row>
    <row r="22" spans="1:9" ht="16.2" thickBot="1" x14ac:dyDescent="0.35">
      <c r="A22" s="107"/>
      <c r="B22" s="205" t="s">
        <v>92</v>
      </c>
      <c r="C22" s="206"/>
      <c r="D22" s="207"/>
      <c r="E22" s="108">
        <f>E20+E16+E7</f>
        <v>93634.0658181818</v>
      </c>
      <c r="F22" s="173">
        <f t="shared" ref="F22:H22" si="3">F20+F16+F7</f>
        <v>23761.588727272723</v>
      </c>
      <c r="G22" s="182">
        <f t="shared" si="3"/>
        <v>38224.525454545445</v>
      </c>
      <c r="H22" s="191">
        <f t="shared" si="3"/>
        <v>31647.951636363632</v>
      </c>
    </row>
    <row r="23" spans="1:9" x14ac:dyDescent="0.3">
      <c r="B23" s="70"/>
      <c r="C23" s="109"/>
      <c r="D23" s="72"/>
    </row>
    <row r="25" spans="1:9" x14ac:dyDescent="0.3">
      <c r="A25" s="208" t="s">
        <v>93</v>
      </c>
      <c r="B25" s="208"/>
      <c r="C25" s="208"/>
      <c r="D25" s="208"/>
    </row>
    <row r="26" spans="1:9" x14ac:dyDescent="0.3">
      <c r="A26" s="209" t="s">
        <v>94</v>
      </c>
      <c r="B26" s="209"/>
      <c r="C26" s="209"/>
      <c r="D26" s="110">
        <f>E7</f>
        <v>83327.290909090894</v>
      </c>
      <c r="F26" s="111"/>
      <c r="G26" s="112"/>
    </row>
    <row r="27" spans="1:9" ht="42.6" customHeight="1" x14ac:dyDescent="0.3">
      <c r="A27" s="200" t="s">
        <v>95</v>
      </c>
      <c r="B27" s="200"/>
      <c r="C27" s="200"/>
      <c r="D27" s="110">
        <f>D26/10</f>
        <v>8332.7290909090898</v>
      </c>
      <c r="F27" s="193"/>
      <c r="G27" s="193"/>
      <c r="H27" s="193"/>
    </row>
    <row r="28" spans="1:9" x14ac:dyDescent="0.3">
      <c r="A28" s="201" t="s">
        <v>99</v>
      </c>
      <c r="B28" s="201"/>
      <c r="C28" s="201"/>
      <c r="D28" s="124">
        <f>SUM(D26:D27)</f>
        <v>91660.01999999999</v>
      </c>
      <c r="F28" s="192"/>
      <c r="G28" s="192"/>
      <c r="H28" s="192"/>
      <c r="I28" s="72"/>
    </row>
  </sheetData>
  <sheetProtection algorithmName="SHA-512" hashValue="zaMHdwWU+GFL/E8/pGZc50Wd0v4Acn5U2XrssjjMAWgtJoQgdLtTx5Uk30ZCJvTgVbl7sngwUsg1olNvMaUXiQ==" saltValue="dytq/mjoiCTzVoDgeYktUg==" spinCount="100000" sheet="1" objects="1" scenarios="1"/>
  <mergeCells count="15">
    <mergeCell ref="A1:H1"/>
    <mergeCell ref="A27:C27"/>
    <mergeCell ref="A28:C28"/>
    <mergeCell ref="A18:A19"/>
    <mergeCell ref="C20:D20"/>
    <mergeCell ref="B22:D22"/>
    <mergeCell ref="A25:D25"/>
    <mergeCell ref="A26:C26"/>
    <mergeCell ref="B18:H18"/>
    <mergeCell ref="B10:H10"/>
    <mergeCell ref="A3:A8"/>
    <mergeCell ref="B7:D7"/>
    <mergeCell ref="B8:E8"/>
    <mergeCell ref="A10:A16"/>
    <mergeCell ref="C16:D16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240D0-7B5A-4723-A085-A92371CEB4D3}">
  <sheetPr codeName="Foglio6"/>
  <dimension ref="B2:J24"/>
  <sheetViews>
    <sheetView workbookViewId="0">
      <selection activeCell="C5" sqref="C5"/>
    </sheetView>
  </sheetViews>
  <sheetFormatPr defaultRowHeight="14.4" x14ac:dyDescent="0.3"/>
  <cols>
    <col min="2" max="2" width="52.88671875" customWidth="1"/>
    <col min="3" max="3" width="12.109375" customWidth="1"/>
    <col min="4" max="7" width="10.44140625" bestFit="1" customWidth="1"/>
    <col min="8" max="8" width="10.6640625" customWidth="1"/>
    <col min="9" max="9" width="11.44140625" bestFit="1" customWidth="1"/>
    <col min="10" max="10" width="10.44140625" bestFit="1" customWidth="1"/>
  </cols>
  <sheetData>
    <row r="2" spans="2:10" s="3" customFormat="1" ht="43.2" x14ac:dyDescent="0.3">
      <c r="B2" s="5" t="s">
        <v>33</v>
      </c>
      <c r="C2" s="5" t="s">
        <v>34</v>
      </c>
      <c r="D2" s="5">
        <v>2026</v>
      </c>
      <c r="E2" s="5">
        <v>2027</v>
      </c>
      <c r="F2" s="5">
        <v>2028</v>
      </c>
      <c r="G2" s="5">
        <v>2029</v>
      </c>
      <c r="H2" s="5" t="s">
        <v>35</v>
      </c>
      <c r="I2" s="5" t="s">
        <v>0</v>
      </c>
    </row>
    <row r="3" spans="2:10" x14ac:dyDescent="0.3">
      <c r="B3" s="2"/>
      <c r="C3" s="2"/>
      <c r="D3" s="2"/>
      <c r="E3" s="2"/>
      <c r="F3" s="2"/>
      <c r="G3" s="2"/>
      <c r="H3" s="2"/>
      <c r="I3" s="2"/>
    </row>
    <row r="4" spans="2:10" x14ac:dyDescent="0.3">
      <c r="B4" s="2" t="s">
        <v>37</v>
      </c>
      <c r="C4" s="2">
        <f>'giorni e media prodotti '!F3-11</f>
        <v>74</v>
      </c>
      <c r="D4" s="2">
        <f>'giorni e media prodotti '!F4-32</f>
        <v>221</v>
      </c>
      <c r="E4" s="2">
        <f>'giorni e media prodotti '!F5-32</f>
        <v>222</v>
      </c>
      <c r="F4" s="2">
        <f>'giorni e media prodotti '!F6-32</f>
        <v>217</v>
      </c>
      <c r="G4" s="2">
        <f>'giorni e media prodotti '!F7-32</f>
        <v>220</v>
      </c>
      <c r="H4" s="2">
        <f>'giorni e media prodotti '!F8-21</f>
        <v>147</v>
      </c>
      <c r="I4" s="2">
        <f>SUM(C4:H4)</f>
        <v>1101</v>
      </c>
    </row>
    <row r="5" spans="2:10" x14ac:dyDescent="0.3">
      <c r="B5" s="2" t="s">
        <v>66</v>
      </c>
      <c r="C5" s="52">
        <f>'giorni e media prodotti '!C43</f>
        <v>0.73090909090909084</v>
      </c>
      <c r="D5" s="52">
        <f>'giorni e media prodotti '!C43</f>
        <v>0.73090909090909084</v>
      </c>
      <c r="E5" s="52">
        <f>'giorni e media prodotti '!C43</f>
        <v>0.73090909090909084</v>
      </c>
      <c r="F5" s="52">
        <f>'giorni e media prodotti '!C43</f>
        <v>0.73090909090909084</v>
      </c>
      <c r="G5" s="52">
        <f>'giorni e media prodotti '!C43</f>
        <v>0.73090909090909084</v>
      </c>
      <c r="H5" s="52">
        <f>'giorni e media prodotti '!C43</f>
        <v>0.73090909090909084</v>
      </c>
      <c r="I5" s="2"/>
    </row>
    <row r="6" spans="2:10" x14ac:dyDescent="0.3">
      <c r="B6" s="4" t="s">
        <v>36</v>
      </c>
      <c r="C6" s="4">
        <v>1.25</v>
      </c>
      <c r="D6" s="4">
        <v>1.25</v>
      </c>
      <c r="E6" s="4">
        <v>1.25</v>
      </c>
      <c r="F6" s="4">
        <v>1.25</v>
      </c>
      <c r="G6" s="4">
        <v>1.25</v>
      </c>
      <c r="H6" s="4">
        <v>1.25</v>
      </c>
      <c r="I6" s="2"/>
    </row>
    <row r="7" spans="2:10" x14ac:dyDescent="0.3">
      <c r="B7" s="4" t="s">
        <v>105</v>
      </c>
      <c r="C7" s="4">
        <f>SUM(C8:C10)</f>
        <v>66</v>
      </c>
      <c r="D7" s="4">
        <f t="shared" ref="D7:H7" si="0">SUM(D8:D10)</f>
        <v>66</v>
      </c>
      <c r="E7" s="4">
        <f t="shared" si="0"/>
        <v>89</v>
      </c>
      <c r="F7" s="4">
        <f t="shared" si="0"/>
        <v>89</v>
      </c>
      <c r="G7" s="4">
        <f t="shared" si="0"/>
        <v>89</v>
      </c>
      <c r="H7" s="4">
        <f t="shared" si="0"/>
        <v>89</v>
      </c>
      <c r="I7" s="2"/>
    </row>
    <row r="8" spans="2:10" x14ac:dyDescent="0.3">
      <c r="B8" s="163" t="str">
        <f>utilizzatori!B5</f>
        <v>LOTTO 4 - Comune di Bellizago Lombardo</v>
      </c>
      <c r="C8" s="4">
        <f>utilizzatori!D5</f>
        <v>21</v>
      </c>
      <c r="D8" s="4">
        <f>utilizzatori!D5</f>
        <v>21</v>
      </c>
      <c r="E8" s="4">
        <f>utilizzatori!D5</f>
        <v>21</v>
      </c>
      <c r="F8" s="4">
        <f>utilizzatori!D5</f>
        <v>21</v>
      </c>
      <c r="G8" s="4">
        <f>utilizzatori!D5</f>
        <v>21</v>
      </c>
      <c r="H8" s="4">
        <f>utilizzatori!D5</f>
        <v>21</v>
      </c>
      <c r="I8" s="60">
        <f>I4*C5*C6*C8</f>
        <v>21124.18636363636</v>
      </c>
    </row>
    <row r="9" spans="2:10" x14ac:dyDescent="0.3">
      <c r="B9" s="164" t="str">
        <f>utilizzatori!B6</f>
        <v>LOTTO 5 - Comune di Liscate</v>
      </c>
      <c r="C9" s="2">
        <f>utilizzatori!E6</f>
        <v>17</v>
      </c>
      <c r="D9" s="2">
        <f>utilizzatori!E6</f>
        <v>17</v>
      </c>
      <c r="E9" s="2">
        <f>utilizzatori!D6</f>
        <v>40</v>
      </c>
      <c r="F9" s="2">
        <f>utilizzatori!D6</f>
        <v>40</v>
      </c>
      <c r="G9" s="2">
        <f>utilizzatori!D6</f>
        <v>40</v>
      </c>
      <c r="H9" s="2">
        <f>utilizzatori!D6</f>
        <v>40</v>
      </c>
      <c r="I9" s="60">
        <f>((I4-E4-F4-G4-H4)*C5*C6*C9)+((I4-C4-D4)*C5*C6*E9)</f>
        <v>34037.522727272721</v>
      </c>
    </row>
    <row r="10" spans="2:10" x14ac:dyDescent="0.3">
      <c r="B10" s="164" t="str">
        <f>utilizzatori!B7</f>
        <v>LOTTO 6 - Comune di Pozzuolo Martesana</v>
      </c>
      <c r="C10" s="2">
        <f>utilizzatori!D7</f>
        <v>28</v>
      </c>
      <c r="D10" s="2">
        <f>utilizzatori!D7</f>
        <v>28</v>
      </c>
      <c r="E10" s="2">
        <f>utilizzatori!D7</f>
        <v>28</v>
      </c>
      <c r="F10" s="2">
        <f>utilizzatori!D7</f>
        <v>28</v>
      </c>
      <c r="G10" s="2">
        <f>utilizzatori!D7</f>
        <v>28</v>
      </c>
      <c r="H10" s="2">
        <f>utilizzatori!D7</f>
        <v>28</v>
      </c>
      <c r="I10" s="60">
        <f>I4*C5*C6*C10</f>
        <v>28165.581818181814</v>
      </c>
      <c r="J10" s="194"/>
    </row>
    <row r="11" spans="2:10" x14ac:dyDescent="0.3">
      <c r="B11" s="66" t="s">
        <v>1</v>
      </c>
      <c r="C11" s="7">
        <f>C4*C5*C6*C7</f>
        <v>4462.1999999999989</v>
      </c>
      <c r="D11" s="7">
        <f t="shared" ref="D11:H11" si="1">D4*D5*D6*D7</f>
        <v>13326.299999999997</v>
      </c>
      <c r="E11" s="7">
        <f t="shared" si="1"/>
        <v>18051.62727272727</v>
      </c>
      <c r="F11" s="7">
        <f t="shared" si="1"/>
        <v>17645.05909090909</v>
      </c>
      <c r="G11" s="7">
        <f t="shared" si="1"/>
        <v>17888.999999999996</v>
      </c>
      <c r="H11" s="7">
        <f t="shared" si="1"/>
        <v>11953.104545454546</v>
      </c>
      <c r="I11" s="7">
        <f>SUM(C11:H11)</f>
        <v>83327.290909090894</v>
      </c>
    </row>
    <row r="12" spans="2:10" x14ac:dyDescent="0.3">
      <c r="B12" s="63"/>
      <c r="C12" s="63"/>
      <c r="D12" s="63"/>
      <c r="E12" s="63"/>
      <c r="F12" s="63"/>
      <c r="G12" s="63"/>
      <c r="H12" s="63"/>
      <c r="I12" s="63"/>
    </row>
    <row r="13" spans="2:10" ht="43.2" x14ac:dyDescent="0.3">
      <c r="B13" s="62" t="s">
        <v>107</v>
      </c>
      <c r="C13" s="5" t="s">
        <v>34</v>
      </c>
      <c r="D13" s="5">
        <v>2026</v>
      </c>
      <c r="E13" s="5">
        <v>2027</v>
      </c>
      <c r="F13" s="5">
        <v>2028</v>
      </c>
      <c r="G13" s="5">
        <v>2029</v>
      </c>
      <c r="H13" s="5" t="s">
        <v>35</v>
      </c>
      <c r="I13" s="5" t="s">
        <v>0</v>
      </c>
    </row>
    <row r="14" spans="2:10" x14ac:dyDescent="0.3">
      <c r="B14" s="163" t="str">
        <f>utilizzatori!B5</f>
        <v>LOTTO 4 - Comune di Bellizago Lombardo</v>
      </c>
      <c r="C14" s="2">
        <f>C4*C6*C8</f>
        <v>1942.5</v>
      </c>
      <c r="D14" s="2">
        <f t="shared" ref="D14:H14" si="2">D4*D6*D8</f>
        <v>5801.25</v>
      </c>
      <c r="E14" s="2">
        <f t="shared" si="2"/>
        <v>5827.5</v>
      </c>
      <c r="F14" s="2">
        <f t="shared" si="2"/>
        <v>5696.25</v>
      </c>
      <c r="G14" s="2">
        <f t="shared" si="2"/>
        <v>5775</v>
      </c>
      <c r="H14" s="2">
        <f t="shared" si="2"/>
        <v>3858.75</v>
      </c>
      <c r="I14" s="59">
        <f>SUM(C14:H14)</f>
        <v>28901.25</v>
      </c>
    </row>
    <row r="15" spans="2:10" x14ac:dyDescent="0.3">
      <c r="B15" s="163" t="str">
        <f>utilizzatori!B6</f>
        <v>LOTTO 5 - Comune di Liscate</v>
      </c>
      <c r="C15" s="2">
        <f>C4*C6*C9</f>
        <v>1572.5</v>
      </c>
      <c r="D15" s="2">
        <f t="shared" ref="D15:H15" si="3">D4*D6*D9</f>
        <v>4696.25</v>
      </c>
      <c r="E15" s="2">
        <f t="shared" si="3"/>
        <v>11100</v>
      </c>
      <c r="F15" s="2">
        <f t="shared" si="3"/>
        <v>10850</v>
      </c>
      <c r="G15" s="2">
        <f t="shared" si="3"/>
        <v>11000</v>
      </c>
      <c r="H15" s="2">
        <f t="shared" si="3"/>
        <v>7350</v>
      </c>
      <c r="I15" s="59">
        <f>SUM(C15:H15)</f>
        <v>46568.75</v>
      </c>
    </row>
    <row r="16" spans="2:10" x14ac:dyDescent="0.3">
      <c r="B16" s="163" t="str">
        <f>utilizzatori!B7</f>
        <v>LOTTO 6 - Comune di Pozzuolo Martesana</v>
      </c>
      <c r="C16" s="2">
        <f>C4*C6*C10</f>
        <v>2590</v>
      </c>
      <c r="D16" s="2">
        <f>CEILING(D4*D6*D10,1)</f>
        <v>7735</v>
      </c>
      <c r="E16" s="2">
        <f t="shared" ref="E16:G16" si="4">E4*E6*E10</f>
        <v>7770</v>
      </c>
      <c r="F16" s="2">
        <f>CEILING(F4*F6*F10,1)</f>
        <v>7595</v>
      </c>
      <c r="G16" s="2">
        <f t="shared" si="4"/>
        <v>7700</v>
      </c>
      <c r="H16" s="2">
        <f>CEILING(H4*H6*H10,1)</f>
        <v>5145</v>
      </c>
      <c r="I16" s="59">
        <f>SUM(C16:H16)</f>
        <v>38535</v>
      </c>
    </row>
    <row r="17" spans="2:9" x14ac:dyDescent="0.3">
      <c r="B17" s="6" t="s">
        <v>0</v>
      </c>
      <c r="C17" s="67">
        <f>SUM(C14:C16)</f>
        <v>6105</v>
      </c>
      <c r="D17" s="67">
        <f t="shared" ref="D17:I17" si="5">SUM(D14:D16)</f>
        <v>18232.5</v>
      </c>
      <c r="E17" s="67">
        <f t="shared" si="5"/>
        <v>24697.5</v>
      </c>
      <c r="F17" s="67">
        <f t="shared" si="5"/>
        <v>24141.25</v>
      </c>
      <c r="G17" s="67">
        <f t="shared" si="5"/>
        <v>24475</v>
      </c>
      <c r="H17" s="67">
        <f t="shared" si="5"/>
        <v>16353.75</v>
      </c>
      <c r="I17" s="67">
        <f t="shared" si="5"/>
        <v>114005</v>
      </c>
    </row>
    <row r="18" spans="2:9" x14ac:dyDescent="0.3">
      <c r="B18" s="63"/>
      <c r="C18" s="63"/>
      <c r="D18" s="63"/>
      <c r="E18" s="63"/>
      <c r="F18" s="63"/>
      <c r="G18" s="63"/>
      <c r="H18" s="63"/>
      <c r="I18" s="63"/>
    </row>
    <row r="19" spans="2:9" ht="43.2" x14ac:dyDescent="0.3">
      <c r="B19" s="62" t="s">
        <v>108</v>
      </c>
      <c r="C19" s="5" t="s">
        <v>106</v>
      </c>
    </row>
    <row r="20" spans="2:9" x14ac:dyDescent="0.3">
      <c r="B20" s="162" t="str">
        <f>utilizzatori!B5</f>
        <v>LOTTO 4 - Comune di Bellizago Lombardo</v>
      </c>
      <c r="C20" s="2">
        <v>2</v>
      </c>
    </row>
    <row r="21" spans="2:9" x14ac:dyDescent="0.3">
      <c r="B21" s="162" t="str">
        <f>utilizzatori!B6</f>
        <v>LOTTO 5 - Comune di Liscate</v>
      </c>
      <c r="C21" s="2">
        <v>4</v>
      </c>
    </row>
    <row r="22" spans="2:9" x14ac:dyDescent="0.3">
      <c r="B22" s="162" t="str">
        <f>utilizzatori!B7</f>
        <v>LOTTO 6 - Comune di Pozzuolo Martesana</v>
      </c>
      <c r="C22" s="2">
        <v>2</v>
      </c>
    </row>
    <row r="23" spans="2:9" x14ac:dyDescent="0.3">
      <c r="B23" s="6" t="s">
        <v>0</v>
      </c>
      <c r="C23" s="59">
        <f>SUM(C20:C22)</f>
        <v>8</v>
      </c>
    </row>
    <row r="24" spans="2:9" x14ac:dyDescent="0.3">
      <c r="B24" s="1"/>
    </row>
  </sheetData>
  <sheetProtection algorithmName="SHA-512" hashValue="Zmn09ONRxwkVXf+jg+RMMJDQVNKlQ6rCupT2PbWeTyWhQ2Dxan2qE3fskDzhVLRuPLjfsduB96UnmoSH6FtawQ==" saltValue="w8aRxumVlXIs6gHqp6CLr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739D0-0192-4A93-99DE-A5053B0E0658}">
  <sheetPr codeName="Foglio7"/>
  <dimension ref="A1:F43"/>
  <sheetViews>
    <sheetView topLeftCell="A16" workbookViewId="0">
      <selection activeCell="F15" sqref="F15"/>
    </sheetView>
  </sheetViews>
  <sheetFormatPr defaultRowHeight="14.4" x14ac:dyDescent="0.3"/>
  <cols>
    <col min="1" max="1" width="38.5546875" customWidth="1"/>
    <col min="2" max="2" width="6.44140625" customWidth="1"/>
    <col min="4" max="4" width="9.33203125" customWidth="1"/>
    <col min="5" max="5" width="13.33203125" customWidth="1"/>
    <col min="6" max="6" width="8.77734375" customWidth="1"/>
  </cols>
  <sheetData>
    <row r="1" spans="1:6" ht="18" x14ac:dyDescent="0.35">
      <c r="A1" s="225" t="s">
        <v>3</v>
      </c>
      <c r="B1" s="226"/>
      <c r="C1" s="226"/>
      <c r="D1" s="226"/>
      <c r="E1" s="226"/>
      <c r="F1" s="226"/>
    </row>
    <row r="2" spans="1:6" ht="42" customHeight="1" x14ac:dyDescent="0.3">
      <c r="A2" s="61" t="s">
        <v>5</v>
      </c>
      <c r="B2" s="61" t="s">
        <v>4</v>
      </c>
      <c r="C2" s="61" t="s">
        <v>112</v>
      </c>
      <c r="D2" s="61" t="s">
        <v>113</v>
      </c>
      <c r="E2" s="160" t="s">
        <v>6</v>
      </c>
      <c r="F2" s="160" t="s">
        <v>7</v>
      </c>
    </row>
    <row r="3" spans="1:6" x14ac:dyDescent="0.3">
      <c r="A3" s="58" t="s">
        <v>34</v>
      </c>
      <c r="B3" s="2">
        <v>122</v>
      </c>
      <c r="C3" s="2">
        <v>17</v>
      </c>
      <c r="D3" s="2">
        <v>17</v>
      </c>
      <c r="E3" s="2">
        <v>3</v>
      </c>
      <c r="F3" s="2">
        <f t="shared" ref="F3:F8" si="0">B3-C3-D3-E3</f>
        <v>85</v>
      </c>
    </row>
    <row r="4" spans="1:6" x14ac:dyDescent="0.3">
      <c r="A4" s="2">
        <v>2026</v>
      </c>
      <c r="B4" s="2">
        <v>365</v>
      </c>
      <c r="C4" s="2">
        <v>52</v>
      </c>
      <c r="D4" s="2">
        <v>52</v>
      </c>
      <c r="E4" s="2">
        <v>8</v>
      </c>
      <c r="F4" s="2">
        <f t="shared" si="0"/>
        <v>253</v>
      </c>
    </row>
    <row r="5" spans="1:6" x14ac:dyDescent="0.3">
      <c r="A5" s="2">
        <v>2027</v>
      </c>
      <c r="B5" s="2">
        <v>365</v>
      </c>
      <c r="C5" s="2">
        <v>52</v>
      </c>
      <c r="D5" s="2">
        <v>52</v>
      </c>
      <c r="E5" s="2">
        <v>7</v>
      </c>
      <c r="F5" s="2">
        <f t="shared" si="0"/>
        <v>254</v>
      </c>
    </row>
    <row r="6" spans="1:6" x14ac:dyDescent="0.3">
      <c r="A6" s="58" t="s">
        <v>27</v>
      </c>
      <c r="B6" s="2">
        <v>366</v>
      </c>
      <c r="C6" s="2">
        <v>53</v>
      </c>
      <c r="D6" s="2">
        <v>53</v>
      </c>
      <c r="E6" s="2">
        <v>11</v>
      </c>
      <c r="F6" s="2">
        <f t="shared" si="0"/>
        <v>249</v>
      </c>
    </row>
    <row r="7" spans="1:6" x14ac:dyDescent="0.3">
      <c r="A7" s="58">
        <v>2029</v>
      </c>
      <c r="B7" s="2">
        <v>365</v>
      </c>
      <c r="C7" s="2">
        <v>52</v>
      </c>
      <c r="D7" s="2">
        <v>52</v>
      </c>
      <c r="E7" s="2">
        <v>9</v>
      </c>
      <c r="F7" s="2">
        <f t="shared" si="0"/>
        <v>252</v>
      </c>
    </row>
    <row r="8" spans="1:6" x14ac:dyDescent="0.3">
      <c r="A8" s="58" t="s">
        <v>35</v>
      </c>
      <c r="B8" s="2">
        <v>243</v>
      </c>
      <c r="C8" s="2">
        <v>35</v>
      </c>
      <c r="D8" s="2">
        <v>35</v>
      </c>
      <c r="E8" s="2">
        <v>5</v>
      </c>
      <c r="F8" s="2">
        <f t="shared" si="0"/>
        <v>168</v>
      </c>
    </row>
    <row r="9" spans="1:6" x14ac:dyDescent="0.3">
      <c r="A9" s="2"/>
      <c r="B9" s="2"/>
      <c r="C9" s="2"/>
      <c r="D9" s="2"/>
      <c r="E9" s="2" t="s">
        <v>9</v>
      </c>
      <c r="F9" s="2">
        <f>SUM(F3:F8)</f>
        <v>1261</v>
      </c>
    </row>
    <row r="10" spans="1:6" x14ac:dyDescent="0.3">
      <c r="A10" s="53" t="s">
        <v>8</v>
      </c>
      <c r="B10" s="53"/>
      <c r="C10" s="53"/>
      <c r="D10" s="53"/>
      <c r="E10" s="53"/>
      <c r="F10" s="53">
        <f>-32*5</f>
        <v>-160</v>
      </c>
    </row>
    <row r="11" spans="1:6" x14ac:dyDescent="0.3">
      <c r="A11" s="161" t="s">
        <v>10</v>
      </c>
      <c r="B11" s="161"/>
      <c r="C11" s="161"/>
      <c r="D11" s="161"/>
      <c r="E11" s="161"/>
      <c r="F11" s="161">
        <f>F9+F10</f>
        <v>1101</v>
      </c>
    </row>
    <row r="14" spans="1:6" x14ac:dyDescent="0.3">
      <c r="A14" s="227" t="s">
        <v>110</v>
      </c>
      <c r="B14" s="228"/>
      <c r="C14" s="229"/>
    </row>
    <row r="15" spans="1:6" x14ac:dyDescent="0.3">
      <c r="A15" s="2" t="s">
        <v>12</v>
      </c>
      <c r="B15" s="2"/>
      <c r="C15" s="50">
        <v>0.6</v>
      </c>
    </row>
    <row r="16" spans="1:6" x14ac:dyDescent="0.3">
      <c r="A16" s="2" t="s">
        <v>13</v>
      </c>
      <c r="B16" s="2"/>
      <c r="C16" s="50">
        <v>0.6</v>
      </c>
    </row>
    <row r="17" spans="1:3" x14ac:dyDescent="0.3">
      <c r="A17" s="2" t="s">
        <v>14</v>
      </c>
      <c r="B17" s="2"/>
      <c r="C17" s="50">
        <v>0.6</v>
      </c>
    </row>
    <row r="18" spans="1:3" x14ac:dyDescent="0.3">
      <c r="A18" s="2" t="s">
        <v>15</v>
      </c>
      <c r="B18" s="2"/>
      <c r="C18" s="50">
        <v>0.6</v>
      </c>
    </row>
    <row r="19" spans="1:3" x14ac:dyDescent="0.3">
      <c r="A19" s="2" t="s">
        <v>16</v>
      </c>
      <c r="B19" s="2"/>
      <c r="C19" s="50">
        <v>0.6</v>
      </c>
    </row>
    <row r="20" spans="1:3" x14ac:dyDescent="0.3">
      <c r="A20" s="2" t="s">
        <v>17</v>
      </c>
      <c r="B20" s="2"/>
      <c r="C20" s="50">
        <v>0.6</v>
      </c>
    </row>
    <row r="21" spans="1:3" x14ac:dyDescent="0.3">
      <c r="A21" s="2" t="s">
        <v>18</v>
      </c>
      <c r="B21" s="2"/>
      <c r="C21" s="50">
        <v>0.6</v>
      </c>
    </row>
    <row r="22" spans="1:3" x14ac:dyDescent="0.3">
      <c r="A22" s="2" t="s">
        <v>19</v>
      </c>
      <c r="B22" s="2"/>
      <c r="C22" s="50">
        <v>0.6</v>
      </c>
    </row>
    <row r="23" spans="1:3" x14ac:dyDescent="0.3">
      <c r="A23" s="2" t="s">
        <v>20</v>
      </c>
      <c r="B23" s="2"/>
      <c r="C23" s="50">
        <v>0.6</v>
      </c>
    </row>
    <row r="24" spans="1:3" x14ac:dyDescent="0.3">
      <c r="A24" s="2" t="s">
        <v>21</v>
      </c>
      <c r="B24" s="2"/>
      <c r="C24" s="50">
        <v>0.6</v>
      </c>
    </row>
    <row r="25" spans="1:3" x14ac:dyDescent="0.3">
      <c r="A25" s="2" t="s">
        <v>115</v>
      </c>
      <c r="B25" s="2"/>
      <c r="C25" s="50">
        <v>0.6</v>
      </c>
    </row>
    <row r="26" spans="1:3" x14ac:dyDescent="0.3">
      <c r="A26" s="2" t="s">
        <v>116</v>
      </c>
      <c r="B26" s="2"/>
      <c r="C26" s="50">
        <v>0.6</v>
      </c>
    </row>
    <row r="27" spans="1:3" x14ac:dyDescent="0.3">
      <c r="A27" s="2" t="s">
        <v>22</v>
      </c>
      <c r="B27" s="2"/>
      <c r="C27" s="50">
        <v>0.6</v>
      </c>
    </row>
    <row r="28" spans="1:3" x14ac:dyDescent="0.3">
      <c r="A28" s="2" t="s">
        <v>117</v>
      </c>
      <c r="B28" s="2"/>
      <c r="C28" s="50">
        <v>1.2</v>
      </c>
    </row>
    <row r="29" spans="1:3" x14ac:dyDescent="0.3">
      <c r="A29" s="2" t="s">
        <v>118</v>
      </c>
      <c r="B29" s="2"/>
      <c r="C29" s="50">
        <v>1.2</v>
      </c>
    </row>
    <row r="30" spans="1:3" x14ac:dyDescent="0.3">
      <c r="A30" s="2" t="s">
        <v>119</v>
      </c>
      <c r="B30" s="2"/>
      <c r="C30" s="50">
        <v>1.2</v>
      </c>
    </row>
    <row r="31" spans="1:3" x14ac:dyDescent="0.3">
      <c r="A31" s="2" t="s">
        <v>120</v>
      </c>
      <c r="B31" s="2"/>
      <c r="C31" s="50">
        <v>1.2</v>
      </c>
    </row>
    <row r="32" spans="1:3" x14ac:dyDescent="0.3">
      <c r="A32" s="2" t="s">
        <v>121</v>
      </c>
      <c r="B32" s="2"/>
      <c r="C32" s="50">
        <v>1.2</v>
      </c>
    </row>
    <row r="33" spans="1:4" x14ac:dyDescent="0.3">
      <c r="A33" s="2" t="s">
        <v>23</v>
      </c>
      <c r="B33" s="2"/>
      <c r="C33" s="50">
        <v>1.2</v>
      </c>
    </row>
    <row r="34" spans="1:4" x14ac:dyDescent="0.3">
      <c r="A34" s="2" t="s">
        <v>24</v>
      </c>
      <c r="B34" s="2"/>
      <c r="C34" s="50">
        <v>1.4</v>
      </c>
    </row>
    <row r="35" spans="1:4" x14ac:dyDescent="0.3">
      <c r="A35" s="2" t="s">
        <v>25</v>
      </c>
      <c r="B35" s="2"/>
      <c r="C35" s="50">
        <v>1.3</v>
      </c>
    </row>
    <row r="36" spans="1:4" x14ac:dyDescent="0.3">
      <c r="A36" s="54" t="s">
        <v>30</v>
      </c>
      <c r="B36" s="2"/>
      <c r="C36" s="50">
        <v>0.6</v>
      </c>
    </row>
    <row r="37" spans="1:4" x14ac:dyDescent="0.3">
      <c r="A37" s="54" t="s">
        <v>31</v>
      </c>
      <c r="B37" s="2"/>
      <c r="C37" s="50">
        <v>0.6</v>
      </c>
    </row>
    <row r="38" spans="1:4" x14ac:dyDescent="0.3">
      <c r="A38" s="54" t="s">
        <v>32</v>
      </c>
      <c r="B38" s="2"/>
      <c r="C38" s="50">
        <v>0.6</v>
      </c>
    </row>
    <row r="39" spans="1:4" x14ac:dyDescent="0.3">
      <c r="A39" s="54" t="s">
        <v>122</v>
      </c>
      <c r="B39" s="2"/>
      <c r="C39" s="50">
        <v>0.6</v>
      </c>
    </row>
    <row r="40" spans="1:4" x14ac:dyDescent="0.3">
      <c r="C40" s="51">
        <f>SUM(C15:C39)</f>
        <v>20.100000000000001</v>
      </c>
    </row>
    <row r="41" spans="1:4" x14ac:dyDescent="0.3">
      <c r="A41" s="56" t="s">
        <v>104</v>
      </c>
      <c r="C41" s="57">
        <f>COUNTIF(C15:C39,"&lt;&gt;0")</f>
        <v>25</v>
      </c>
    </row>
    <row r="42" spans="1:4" x14ac:dyDescent="0.3">
      <c r="A42" s="1" t="s">
        <v>26</v>
      </c>
      <c r="C42" s="51">
        <f>C40/C41</f>
        <v>0.80400000000000005</v>
      </c>
      <c r="D42" t="s">
        <v>28</v>
      </c>
    </row>
    <row r="43" spans="1:4" x14ac:dyDescent="0.3">
      <c r="C43" s="51">
        <f>C42/110%</f>
        <v>0.73090909090909084</v>
      </c>
      <c r="D43" t="s">
        <v>29</v>
      </c>
    </row>
  </sheetData>
  <sheetProtection algorithmName="SHA-512" hashValue="j8ldBeE60rCNVscqCbXACHiMt/bZYmqDQZqywWnS4nWkpnDiBl2gyruBYDYsHVlFGybxdpkG7i87aLUlLj5eYQ==" saltValue="fSP4epm56vlovXYZZbaYtA==" spinCount="100000" sheet="1" objects="1" scenarios="1"/>
  <protectedRanges>
    <protectedRange algorithmName="SHA-512" hashValue="W+mETLaNvsl/JKllYmdt22IUvQaiq6Wv+2w006lXQpq0Ivc6O7yOyqJ1nh05p977jYllDheDTj+zk0l/RALvQA==" saltValue="VhaX18WmPf5jAsyf3pJI5Q==" spinCount="100000" sqref="C15:C39" name="PRODOTTI"/>
  </protectedRanges>
  <mergeCells count="2">
    <mergeCell ref="A1:F1"/>
    <mergeCell ref="A14:C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450B-4E0E-4409-8FB8-1EB64CBEEE06}">
  <sheetPr codeName="Foglio8"/>
  <dimension ref="A1:F8"/>
  <sheetViews>
    <sheetView tabSelected="1" workbookViewId="0">
      <selection activeCell="J13" sqref="J13"/>
    </sheetView>
  </sheetViews>
  <sheetFormatPr defaultRowHeight="14.4" x14ac:dyDescent="0.3"/>
  <cols>
    <col min="2" max="2" width="46.109375" customWidth="1"/>
    <col min="3" max="3" width="15.88671875" customWidth="1"/>
  </cols>
  <sheetData>
    <row r="1" spans="1:6" ht="28.8" x14ac:dyDescent="0.55000000000000004">
      <c r="B1" s="230" t="s">
        <v>101</v>
      </c>
      <c r="C1" s="226"/>
      <c r="D1" s="226"/>
    </row>
    <row r="4" spans="1:6" ht="15.6" x14ac:dyDescent="0.3">
      <c r="A4" s="64" t="s">
        <v>111</v>
      </c>
      <c r="B4" s="64" t="s">
        <v>102</v>
      </c>
      <c r="C4" s="65" t="s">
        <v>103</v>
      </c>
      <c r="D4" s="159">
        <v>0.85</v>
      </c>
    </row>
    <row r="5" spans="1:6" x14ac:dyDescent="0.3">
      <c r="A5" s="154">
        <v>1</v>
      </c>
      <c r="B5" s="2" t="s">
        <v>123</v>
      </c>
      <c r="C5" s="156">
        <v>24</v>
      </c>
      <c r="D5" s="156">
        <f>CEILING(C5*D4,1)</f>
        <v>21</v>
      </c>
    </row>
    <row r="6" spans="1:6" x14ac:dyDescent="0.3">
      <c r="A6" s="154">
        <v>2</v>
      </c>
      <c r="B6" s="2" t="s">
        <v>124</v>
      </c>
      <c r="C6" s="156">
        <v>47</v>
      </c>
      <c r="D6" s="156">
        <f>CEILING(C6*D4,1)</f>
        <v>40</v>
      </c>
      <c r="E6" s="156">
        <f>CEILING((C6-27)*D4,1)</f>
        <v>17</v>
      </c>
      <c r="F6" t="s">
        <v>126</v>
      </c>
    </row>
    <row r="7" spans="1:6" x14ac:dyDescent="0.3">
      <c r="A7" s="154">
        <v>3</v>
      </c>
      <c r="B7" s="2" t="s">
        <v>125</v>
      </c>
      <c r="C7" s="157">
        <v>32</v>
      </c>
      <c r="D7" s="157">
        <f>CEILING(C7*D4,1)</f>
        <v>28</v>
      </c>
    </row>
    <row r="8" spans="1:6" x14ac:dyDescent="0.3">
      <c r="B8" s="155" t="s">
        <v>2</v>
      </c>
      <c r="C8" s="158">
        <f>SUM(C5:C7)</f>
        <v>103</v>
      </c>
      <c r="D8" s="158">
        <f>SUM(D5:D7)</f>
        <v>89</v>
      </c>
    </row>
  </sheetData>
  <sheetProtection algorithmName="SHA-512" hashValue="iHBhSLQ3ViERFLAAs4AB4C2tfR3FoxmGi8DQWoemCD4GO7kXuvIvy6mAFgB+/xNjW2kLksoFpj+VXZ4g1Wfdng==" saltValue="qQM5huub5IJtwdAGPX6Zkg==" spinCount="100000" sheet="1" objects="1" scenarios="1"/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PEF UNIONE</vt:lpstr>
      <vt:lpstr>PEF "BELLINZAGO LOMBARDO"</vt:lpstr>
      <vt:lpstr>PEF "LISCATE"</vt:lpstr>
      <vt:lpstr>PEF "POZZUOLO MARTESANA"</vt:lpstr>
      <vt:lpstr>Quadro Economico</vt:lpstr>
      <vt:lpstr>calcolo fatturato</vt:lpstr>
      <vt:lpstr>giorni e media prodotti </vt:lpstr>
      <vt:lpstr>utilizzatori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Parazzoli - Comune di Settala</dc:creator>
  <cp:lastModifiedBy>Nadia Martellotta</cp:lastModifiedBy>
  <cp:lastPrinted>2025-04-09T11:19:54Z</cp:lastPrinted>
  <dcterms:created xsi:type="dcterms:W3CDTF">2024-09-19T06:18:24Z</dcterms:created>
  <dcterms:modified xsi:type="dcterms:W3CDTF">2025-04-10T10:27:33Z</dcterms:modified>
</cp:coreProperties>
</file>